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35"/>
  </bookViews>
  <sheets>
    <sheet name="Таблица" sheetId="2" r:id="rId1"/>
  </sheets>
  <definedNames>
    <definedName name="_xlnm.Print_Titles" localSheetId="0">Таблица!$4:$7</definedName>
  </definedNames>
  <calcPr calcId="144525"/>
</workbook>
</file>

<file path=xl/calcChain.xml><?xml version="1.0" encoding="utf-8"?>
<calcChain xmlns="http://schemas.openxmlformats.org/spreadsheetml/2006/main">
  <c r="D19" i="2" l="1"/>
  <c r="D17" i="2"/>
  <c r="D18" i="2"/>
  <c r="D15" i="2"/>
  <c r="D16" i="2"/>
  <c r="D14" i="2"/>
  <c r="D13" i="2"/>
  <c r="D24" i="2"/>
  <c r="D26" i="2"/>
  <c r="D27" i="2"/>
  <c r="D28" i="2"/>
  <c r="D34" i="2"/>
  <c r="D33" i="2"/>
  <c r="D36" i="2"/>
  <c r="D35" i="2" s="1"/>
  <c r="D31" i="2" s="1"/>
  <c r="D37" i="2"/>
  <c r="D38" i="2"/>
  <c r="D64" i="2"/>
  <c r="D63" i="2"/>
  <c r="D66" i="2"/>
  <c r="D67" i="2"/>
  <c r="D68" i="2"/>
  <c r="D98" i="2"/>
  <c r="D94" i="2"/>
  <c r="D97" i="2"/>
  <c r="D83" i="2"/>
  <c r="D82" i="2" s="1"/>
  <c r="D81" i="2"/>
  <c r="E99" i="2"/>
  <c r="F99" i="2"/>
  <c r="D47" i="2"/>
  <c r="D55" i="2"/>
  <c r="D53" i="2" s="1"/>
  <c r="D90" i="2"/>
  <c r="D87" i="2"/>
  <c r="D89" i="2"/>
  <c r="D79" i="2"/>
  <c r="D77" i="2" s="1"/>
  <c r="D58" i="2"/>
  <c r="D85" i="2"/>
  <c r="D46" i="2"/>
  <c r="D76" i="2"/>
  <c r="D59" i="2"/>
  <c r="D43" i="2"/>
  <c r="D41" i="2"/>
  <c r="D45" i="2"/>
  <c r="D96" i="2"/>
  <c r="G96" i="2"/>
  <c r="D95" i="2"/>
  <c r="D91" i="2"/>
  <c r="D74" i="2"/>
  <c r="D73" i="2"/>
  <c r="D72" i="2"/>
  <c r="D75" i="2"/>
  <c r="G75" i="2"/>
  <c r="H10" i="2"/>
  <c r="H19" i="2"/>
  <c r="H20" i="2"/>
  <c r="H22" i="2"/>
  <c r="H29" i="2"/>
  <c r="H30" i="2"/>
  <c r="H32" i="2"/>
  <c r="H38" i="2"/>
  <c r="H39" i="2"/>
  <c r="H40" i="2"/>
  <c r="H42" i="2"/>
  <c r="H44" i="2"/>
  <c r="H45" i="2"/>
  <c r="H49" i="2"/>
  <c r="H50" i="2"/>
  <c r="H51" i="2"/>
  <c r="H54" i="2"/>
  <c r="H56" i="2"/>
  <c r="H57" i="2"/>
  <c r="H59" i="2"/>
  <c r="H62" i="2"/>
  <c r="H63" i="2"/>
  <c r="H69" i="2"/>
  <c r="H71" i="2"/>
  <c r="H75" i="2"/>
  <c r="H80" i="2"/>
  <c r="H84" i="2"/>
  <c r="H86" i="2"/>
  <c r="H88" i="2"/>
  <c r="H91" i="2"/>
  <c r="H93" i="2"/>
  <c r="H96" i="2"/>
  <c r="H97" i="2"/>
  <c r="H98" i="2"/>
  <c r="G11" i="2"/>
  <c r="H11" i="2" s="1"/>
  <c r="G18" i="2"/>
  <c r="H18" i="2" s="1"/>
  <c r="G33" i="2"/>
  <c r="H33" i="2" s="1"/>
  <c r="G94" i="2"/>
  <c r="G90" i="2"/>
  <c r="H90" i="2" s="1"/>
  <c r="G87" i="2"/>
  <c r="H87" i="2" s="1"/>
  <c r="G95" i="2"/>
  <c r="H95" i="2" s="1"/>
  <c r="G91" i="2"/>
  <c r="G89" i="2"/>
  <c r="H89" i="2" s="1"/>
  <c r="G85" i="2"/>
  <c r="H85" i="2" s="1"/>
  <c r="G82" i="2"/>
  <c r="G83" i="2" s="1"/>
  <c r="H83" i="2" s="1"/>
  <c r="G81" i="2"/>
  <c r="H81" i="2" s="1"/>
  <c r="G79" i="2"/>
  <c r="H79" i="2" s="1"/>
  <c r="G76" i="2"/>
  <c r="H76" i="2" s="1"/>
  <c r="G73" i="2"/>
  <c r="H73" i="2" s="1"/>
  <c r="G74" i="2"/>
  <c r="H74" i="2" s="1"/>
  <c r="G72" i="2"/>
  <c r="H72" i="2" s="1"/>
  <c r="G64" i="2"/>
  <c r="H64" i="2" s="1"/>
  <c r="G66" i="2"/>
  <c r="H66" i="2" s="1"/>
  <c r="G67" i="2"/>
  <c r="H67" i="2" s="1"/>
  <c r="G63" i="2"/>
  <c r="G68" i="2"/>
  <c r="H68" i="2" s="1"/>
  <c r="G60" i="2"/>
  <c r="H60" i="2" s="1"/>
  <c r="G59" i="2"/>
  <c r="G58" i="2"/>
  <c r="H58" i="2" s="1"/>
  <c r="G55" i="2"/>
  <c r="H55" i="2" s="1"/>
  <c r="G52" i="2"/>
  <c r="H52" i="2" s="1"/>
  <c r="G47" i="2"/>
  <c r="H47" i="2" s="1"/>
  <c r="G46" i="2"/>
  <c r="H46" i="2" s="1"/>
  <c r="G43" i="2"/>
  <c r="H43" i="2" s="1"/>
  <c r="G34" i="2"/>
  <c r="H34" i="2" s="1"/>
  <c r="G36" i="2"/>
  <c r="G37" i="2"/>
  <c r="H37" i="2" s="1"/>
  <c r="G23" i="2"/>
  <c r="H23" i="2" s="1"/>
  <c r="G28" i="2"/>
  <c r="H28" i="2" s="1"/>
  <c r="G27" i="2"/>
  <c r="H27" i="2" s="1"/>
  <c r="G26" i="2"/>
  <c r="H26" i="2" s="1"/>
  <c r="G24" i="2"/>
  <c r="H24" i="2" s="1"/>
  <c r="G17" i="2"/>
  <c r="H17" i="2" s="1"/>
  <c r="G16" i="2"/>
  <c r="H16" i="2" s="1"/>
  <c r="G15" i="2"/>
  <c r="H15" i="2" s="1"/>
  <c r="G14" i="2"/>
  <c r="H14" i="2" s="1"/>
  <c r="G13" i="2"/>
  <c r="H13" i="2" s="1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D141" i="2"/>
  <c r="E141" i="2" s="1"/>
  <c r="D140" i="2"/>
  <c r="E140" i="2" s="1"/>
  <c r="D139" i="2"/>
  <c r="E139" i="2" s="1"/>
  <c r="D138" i="2"/>
  <c r="E138" i="2" s="1"/>
  <c r="D137" i="2"/>
  <c r="E137" i="2" s="1"/>
  <c r="D136" i="2"/>
  <c r="E136" i="2" s="1"/>
  <c r="D135" i="2"/>
  <c r="E135" i="2" s="1"/>
  <c r="D134" i="2"/>
  <c r="E134" i="2" s="1"/>
  <c r="J143" i="2"/>
  <c r="K143" i="2" s="1"/>
  <c r="J144" i="2"/>
  <c r="K144" i="2"/>
  <c r="J149" i="2"/>
  <c r="K149" i="2" s="1"/>
  <c r="J150" i="2"/>
  <c r="K150" i="2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/>
  <c r="J157" i="2"/>
  <c r="K157" i="2" s="1"/>
  <c r="J158" i="2"/>
  <c r="K158" i="2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/>
  <c r="J165" i="2"/>
  <c r="K165" i="2" s="1"/>
  <c r="J166" i="2"/>
  <c r="K166" i="2"/>
  <c r="J167" i="2"/>
  <c r="K167" i="2" s="1"/>
  <c r="J168" i="2"/>
  <c r="K168" i="2" s="1"/>
  <c r="J169" i="2"/>
  <c r="K169" i="2" s="1"/>
  <c r="J170" i="2"/>
  <c r="K170" i="2" s="1"/>
  <c r="H143" i="2"/>
  <c r="H144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34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01" i="2"/>
  <c r="G148" i="2"/>
  <c r="J148" i="2" s="1"/>
  <c r="K148" i="2" s="1"/>
  <c r="G147" i="2"/>
  <c r="H147" i="2" s="1"/>
  <c r="G146" i="2"/>
  <c r="H146" i="2" s="1"/>
  <c r="G145" i="2"/>
  <c r="J145" i="2" s="1"/>
  <c r="K145" i="2" s="1"/>
  <c r="G141" i="2"/>
  <c r="G142" i="2" s="1"/>
  <c r="G140" i="2"/>
  <c r="H140" i="2" s="1"/>
  <c r="G139" i="2"/>
  <c r="J139" i="2" s="1"/>
  <c r="K139" i="2" s="1"/>
  <c r="G138" i="2"/>
  <c r="H138" i="2" s="1"/>
  <c r="G137" i="2"/>
  <c r="J137" i="2" s="1"/>
  <c r="K137" i="2" s="1"/>
  <c r="G136" i="2"/>
  <c r="J136" i="2" s="1"/>
  <c r="K136" i="2" s="1"/>
  <c r="G135" i="2"/>
  <c r="J135" i="2" s="1"/>
  <c r="K135" i="2" s="1"/>
  <c r="G134" i="2"/>
  <c r="J134" i="2" s="1"/>
  <c r="K134" i="2" s="1"/>
  <c r="J147" i="2" l="1"/>
  <c r="K147" i="2" s="1"/>
  <c r="G12" i="2"/>
  <c r="G25" i="2"/>
  <c r="H141" i="2"/>
  <c r="G35" i="2"/>
  <c r="H35" i="2" s="1"/>
  <c r="D70" i="2"/>
  <c r="D99" i="2" s="1"/>
  <c r="D25" i="2"/>
  <c r="D21" i="2" s="1"/>
  <c r="G65" i="2"/>
  <c r="G61" i="2" s="1"/>
  <c r="H61" i="2" s="1"/>
  <c r="H148" i="2"/>
  <c r="H137" i="2"/>
  <c r="G77" i="2"/>
  <c r="H77" i="2" s="1"/>
  <c r="D65" i="2"/>
  <c r="D61" i="2" s="1"/>
  <c r="G41" i="2"/>
  <c r="H41" i="2" s="1"/>
  <c r="G92" i="2"/>
  <c r="D92" i="2"/>
  <c r="D12" i="2"/>
  <c r="J141" i="2"/>
  <c r="K141" i="2" s="1"/>
  <c r="H92" i="2"/>
  <c r="H142" i="2"/>
  <c r="J142" i="2"/>
  <c r="K142" i="2" s="1"/>
  <c r="G31" i="2"/>
  <c r="H31" i="2" s="1"/>
  <c r="H136" i="2"/>
  <c r="H139" i="2"/>
  <c r="H135" i="2"/>
  <c r="J146" i="2"/>
  <c r="K146" i="2" s="1"/>
  <c r="J140" i="2"/>
  <c r="K140" i="2" s="1"/>
  <c r="J138" i="2"/>
  <c r="K138" i="2" s="1"/>
  <c r="D142" i="2"/>
  <c r="E142" i="2" s="1"/>
  <c r="H94" i="2"/>
  <c r="H82" i="2"/>
  <c r="H65" i="2"/>
  <c r="H36" i="2"/>
  <c r="G70" i="2"/>
  <c r="H70" i="2" s="1"/>
  <c r="H145" i="2"/>
  <c r="G53" i="2"/>
  <c r="H53" i="2" s="1"/>
  <c r="H25" i="2" l="1"/>
  <c r="G21" i="2"/>
  <c r="H21" i="2" s="1"/>
  <c r="H12" i="2"/>
  <c r="G9" i="2"/>
  <c r="H9" i="2" s="1"/>
  <c r="G99" i="2"/>
  <c r="H99" i="2" s="1"/>
</calcChain>
</file>

<file path=xl/sharedStrings.xml><?xml version="1.0" encoding="utf-8"?>
<sst xmlns="http://schemas.openxmlformats.org/spreadsheetml/2006/main" count="221" uniqueCount="172">
  <si>
    <t>Расходы по вывозу и обезвреживанию крупногабаритного мусора в части КГМ, образуемого населением</t>
  </si>
  <si>
    <t>Расходы по обеспечению электро- и пожаробезопасных условий по эксплуатации и текущему ремонту внутридомовых систем электроснабжения, относящихся к общему имуществу дома</t>
  </si>
  <si>
    <t>Расходы на оплату электроэнергии, расходуемой на работу инженерного оборудования и на освещение помещений общего пользования дома (силовой и световой, за исключением электроэнергии по приборам наружного освещения, входящим в общедомовое имущество) - всего</t>
  </si>
  <si>
    <t>в том числе:</t>
  </si>
  <si>
    <t>Расходы, связанные с выполнением управляющими организациями функций по управлению многоквартирным домом (без расходов по начислению платежей за жилищные (эксплуатационные), коммунальные и прочие услуги физическим и юридическим лицам) - всего</t>
  </si>
  <si>
    <t xml:space="preserve">1) зарплата с начислениями             </t>
  </si>
  <si>
    <t>Расходы по уплате налога на добавленную стоимость на работы и услуги по управлению многоквартирным домом</t>
  </si>
  <si>
    <t>1) зарплата с начислениями МОП</t>
  </si>
  <si>
    <t>Расходы по содержанию (уборке) помещений общего пользования многоквартирного дома - всего</t>
  </si>
  <si>
    <t xml:space="preserve">1) оплата труда с начислениями рабочих  </t>
  </si>
  <si>
    <t>1) расходы по вывозу (транспортировке) ТБО</t>
  </si>
  <si>
    <t xml:space="preserve">2) расходы по обезвреживанию ТБО       
</t>
  </si>
  <si>
    <t>Расходы по вывозу (транспортировке) и обезвреживанию твердых бытовых отходов (ТБО), образуемых населением - всего</t>
  </si>
  <si>
    <t>1) расходы на световую эл.энергию</t>
  </si>
  <si>
    <t>2) расходы на силовую эл.энергию</t>
  </si>
  <si>
    <t>Амортизация машин, оборудования, инвентаря, используемого при выполнении работ по содержанию и текущему ремонту общего имущества многоквартирного дома</t>
  </si>
  <si>
    <t>Расходы по техническому учету и технической инвентаризации многоквартирного дома</t>
  </si>
  <si>
    <t>Аварийно-техническое обслуживание систем инженерного оборудования, входящих в состав общего имущества в многоквартирном доме (кроме газовых).</t>
  </si>
  <si>
    <t xml:space="preserve">Расходы по текущему ремонту помещений общего пользования многоквартирного дома </t>
  </si>
  <si>
    <t>Расходы по начислению платежей за жилищные (эксплуатационные), коммунальные и прочие услуги физическим и юридическим лицам</t>
  </si>
  <si>
    <t>Расходы по содержанию мусоропроводов в домах, оборудованных мусоропроводами - всего:</t>
  </si>
  <si>
    <t>1) в домах с одним лифтом на подъезд</t>
  </si>
  <si>
    <t>2) в домах с двумя лифтами на подъезд</t>
  </si>
  <si>
    <t>3) в домах с тремя и более лифтами на подъезд</t>
  </si>
  <si>
    <t>Расходы по содержанию и текущему ремонту внутридомовых систем электроснабжения, связанные с эксплуатацией электротехнических устройств в жилых помещениях - бытовых электроплит (контрольные функции)</t>
  </si>
  <si>
    <t>Расходы по техническому обслуживанию, включая аварийное, внутридомового газового оборудования (газопровода), находящегося в составе общего имущества жилого дома - всего:</t>
  </si>
  <si>
    <t>1) в домах с газовыми плитами и центральным горячим водоснабжением;</t>
  </si>
  <si>
    <t>2) в домах с газовыми плитами и газовыми колонками</t>
  </si>
  <si>
    <t>Расходы по техническому обслуживанию и текущему ремонту систем противопожарной безопасности в жилых домах повышенной этажности (11 этажей и выше) - систем дымоудаления и противопожарной автоматизации (системы ДУ и ППА)</t>
  </si>
  <si>
    <t>Расходы по текущему ремонту центральных тепловых пунктов, тепловых пунктов, индивидуальных тепловых пунктов (ЦТП, ТП, ИТП).</t>
  </si>
  <si>
    <t>Расходы по содержанию и текущему ремонту газовых крышных котельных</t>
  </si>
  <si>
    <t>Расходы по содержанию и текущему ремонту механической приточно-вытяжной вентиляции, относящейся к общему имуществу в многоквартирном доме</t>
  </si>
  <si>
    <t>Расходы по эксплуатации и текущему ремонту установок (приборов) наружного освещения, входящих в общедомовое оборудование, включая оплату электроэнергии</t>
  </si>
  <si>
    <t>Расходы на работы по видеодиагностике внутренней поверхности мусоропровода</t>
  </si>
  <si>
    <t>Амортизация по зданиям и сооружениям, используемым при содержании многоквартирного дома</t>
  </si>
  <si>
    <t>Расходы по техническому обслуживанию охранно-защитных дератизационных систем (ОЗДС) для жилищного фонда города</t>
  </si>
  <si>
    <t>Расходы по техническому обслуживанию и ремонту включенных в состав общего имущества многоквартирного дома автоматизированных узлов управления (АУУ) центрального отопления домов</t>
  </si>
  <si>
    <t>2) вода</t>
  </si>
  <si>
    <t>16.1</t>
  </si>
  <si>
    <t>Расходы по техническому обслуживанию лифтов (без скоростных лифтов) - всего:</t>
  </si>
  <si>
    <t>16.2</t>
  </si>
  <si>
    <t>Расходы по техническому обслуживанию скоростных лифтов</t>
  </si>
  <si>
    <t>I.</t>
  </si>
  <si>
    <t>II.</t>
  </si>
  <si>
    <t>Оборудованных скоростными лифтами</t>
  </si>
  <si>
    <t>2) благоустройство земельного участка</t>
  </si>
  <si>
    <t>3) вывоз и обезвреживание мусора, образуемого при уборке земельного участка</t>
  </si>
  <si>
    <t>по  ___________________________________административному округу города Москвы</t>
  </si>
  <si>
    <t>№№ п/п</t>
  </si>
  <si>
    <t>Виды расходов</t>
  </si>
  <si>
    <t>Сумма расходов</t>
  </si>
  <si>
    <t>РАЗДЕЛ 1.</t>
  </si>
  <si>
    <t>РАЗДЕЛ 2.</t>
  </si>
  <si>
    <t>ВСЕГО РАСХОДОВ по разделу 1:</t>
  </si>
  <si>
    <t>III.</t>
  </si>
  <si>
    <t>(в тыс.руб., с одним десятичным знаком после запятой)</t>
  </si>
  <si>
    <t>Расходы по текущему ремонту общедомового инженерного оборудования, в том числе связанному с подготовкой домов к эксплуатации в зимних условиях (кроме работ, перечисленных в пп. 7, 13, 16-23, 29)</t>
  </si>
  <si>
    <r>
      <t>Площадь земельного участка</t>
    </r>
    <r>
      <rPr>
        <sz val="11"/>
        <rFont val="Times New Roman"/>
        <family val="1"/>
        <charset val="204"/>
      </rPr>
      <t xml:space="preserve">, в установленном порядке включенного в состав общего имущества многоквартирного дома </t>
    </r>
    <r>
      <rPr>
        <b/>
        <sz val="11"/>
        <rFont val="Times New Roman"/>
        <family val="1"/>
        <charset val="204"/>
      </rPr>
      <t>(в тыс.кв.м)</t>
    </r>
  </si>
  <si>
    <r>
      <t>Общая площадь жилых помещений</t>
    </r>
    <r>
      <rPr>
        <sz val="11"/>
        <rFont val="Times New Roman"/>
        <family val="1"/>
        <charset val="204"/>
      </rPr>
      <t xml:space="preserve"> в многоквартирных домах, </t>
    </r>
    <r>
      <rPr>
        <b/>
        <sz val="11"/>
        <rFont val="Times New Roman"/>
        <family val="1"/>
        <charset val="204"/>
      </rPr>
      <t>имеющих земельный участок</t>
    </r>
    <r>
      <rPr>
        <sz val="11"/>
        <rFont val="Times New Roman"/>
        <family val="1"/>
        <charset val="204"/>
      </rPr>
      <t xml:space="preserve">, в установленном порядке включенный в состав общего имущества в многоквартирном доме </t>
    </r>
    <r>
      <rPr>
        <b/>
        <sz val="11"/>
        <rFont val="Times New Roman"/>
        <family val="1"/>
        <charset val="204"/>
      </rPr>
      <t>(в тыс.кв.м)</t>
    </r>
  </si>
  <si>
    <t>РАЗДЕЛ 3.</t>
  </si>
  <si>
    <t>1) Запирающих устройств</t>
  </si>
  <si>
    <t>2) Телевизионных антенн</t>
  </si>
  <si>
    <t>Оплата услуг (в тыс.руб.)</t>
  </si>
  <si>
    <t>IV.</t>
  </si>
  <si>
    <t>1) Оборудованная запирающими устройствами</t>
  </si>
  <si>
    <t>2) Оборудованная телевизионными антеннами</t>
  </si>
  <si>
    <r>
      <t xml:space="preserve">СПРАВОЧНО: ПЛОЩАДЬ </t>
    </r>
    <r>
      <rPr>
        <b/>
        <sz val="11"/>
        <rFont val="Times New Roman"/>
        <family val="1"/>
        <charset val="204"/>
      </rPr>
      <t>(в тыс.кв.м, с одним десятичным знаком после запятой)</t>
    </r>
  </si>
  <si>
    <t>1) в домах с газовыми плитами и центральным горячим водоснабжением</t>
  </si>
  <si>
    <r>
      <t>Общая площадь жилых помещений</t>
    </r>
    <r>
      <rPr>
        <sz val="11"/>
        <rFont val="Times New Roman"/>
        <family val="1"/>
        <charset val="204"/>
      </rPr>
      <t xml:space="preserve"> в многоквартирных домах, </t>
    </r>
    <r>
      <rPr>
        <b/>
        <sz val="11"/>
        <rFont val="Times New Roman"/>
        <family val="1"/>
        <charset val="204"/>
      </rPr>
      <t>получающих</t>
    </r>
    <r>
      <rPr>
        <sz val="11"/>
        <rFont val="Times New Roman"/>
        <family val="1"/>
        <charset val="204"/>
      </rPr>
      <t xml:space="preserve"> субсидии из бюджета на содержание и текущий ремонт общего имущества </t>
    </r>
    <r>
      <rPr>
        <b/>
        <sz val="11"/>
        <rFont val="Times New Roman"/>
        <family val="1"/>
        <charset val="204"/>
      </rPr>
      <t>(в тыс.кв.м)</t>
    </r>
  </si>
  <si>
    <t>Прочие расходы по содержанию и текущему ремонту общедомового инженерного оборудования многоквартирного дома (содержание и текущий ремонт внутридомовых технических средств, обеспечивающих обработку и передачу данных об объемах потребляемых ресурсов, и т.п. ) - всего:</t>
  </si>
  <si>
    <t>в том числе:  (с расшифровкой по видам оборудования)</t>
  </si>
  <si>
    <t>из них:</t>
  </si>
  <si>
    <t xml:space="preserve">2) прочие расходы  ( с расшифровкой)                    </t>
  </si>
  <si>
    <t>1)обслуживание УУТЭ (узел учета тепловой энергии)</t>
  </si>
  <si>
    <t>2)АСКУЭ (автоматизированная система контроля и учета электрической энергии и мощности)</t>
  </si>
  <si>
    <t>б) инвентарь</t>
  </si>
  <si>
    <t>а) материалы</t>
  </si>
  <si>
    <t>в) спецодежда</t>
  </si>
  <si>
    <t>3) прочие расходы (с расшифровкой) в том числе:</t>
  </si>
  <si>
    <t>а) дератизация</t>
  </si>
  <si>
    <t>б) дезинсекция</t>
  </si>
  <si>
    <t>в) дезинфекция</t>
  </si>
  <si>
    <t>Прочие расходы по содержанию общего имущества в многоквартирном доме, выполняемые в многоквартирных домах всех категорий (с расшифровкой) в том числе:</t>
  </si>
  <si>
    <t xml:space="preserve">3) прочие расходы (с расшифровкой) в том числе: </t>
  </si>
  <si>
    <r>
      <t xml:space="preserve">Расходы на работы по очистке, промывке, дезинфекции, гидроизоляции внутренней поверхности асбестоцементного ствола мусоропровода с применением мобильного моющего блока (ММБ) и </t>
    </r>
    <r>
      <rPr>
        <i/>
        <sz val="11"/>
        <rFont val="Times New Roman"/>
        <family val="1"/>
        <charset val="204"/>
      </rPr>
      <t>модернизированного ручного опрыскивателя (МРО) в старом жилом фонде</t>
    </r>
  </si>
  <si>
    <t>г)</t>
  </si>
  <si>
    <t>20.1.</t>
  </si>
  <si>
    <t>В том числе расходы по текущему ремонту   индивидуальных тепловых пунктов (ИТП).</t>
  </si>
  <si>
    <t>по жилым домам, построен-ным до 1953 года (вкл.)</t>
  </si>
  <si>
    <t>Всего, по всем жилым домам</t>
  </si>
  <si>
    <r>
      <t>Общая площадь жилых помещений</t>
    </r>
    <r>
      <rPr>
        <sz val="11"/>
        <rFont val="Times New Roman"/>
        <family val="1"/>
        <charset val="204"/>
      </rPr>
      <t xml:space="preserve"> в многоквартирных домах, </t>
    </r>
    <r>
      <rPr>
        <b/>
        <sz val="11"/>
        <rFont val="Times New Roman"/>
        <family val="1"/>
        <charset val="204"/>
      </rPr>
      <t>получающих и не получающих</t>
    </r>
    <r>
      <rPr>
        <sz val="11"/>
        <rFont val="Times New Roman"/>
        <family val="1"/>
        <charset val="204"/>
      </rPr>
      <t xml:space="preserve"> субсидии из бюджета на содержание и текущий ремонт общего имущества (в тыс.кв.м), в том числе:</t>
    </r>
  </si>
  <si>
    <t>1.2.</t>
  </si>
  <si>
    <t>1.1.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</si>
  <si>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</si>
  <si>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</si>
  <si>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</si>
  <si>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</si>
  <si>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</si>
  <si>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</si>
  <si>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</si>
  <si>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</si>
  <si>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</si>
  <si>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Оборудованных газовой крышной котельной (тыс.кв.м)</t>
  </si>
  <si>
    <t>1.6.</t>
  </si>
  <si>
    <t>1.7.</t>
  </si>
  <si>
    <t>1.8.</t>
  </si>
  <si>
    <t>Оборудованных системой дымоудаления и противопожарной автоматизацией (системы ДУ и ППА) (тыс.кв.м)</t>
  </si>
  <si>
    <t>2.7.</t>
  </si>
  <si>
    <t>2.8.</t>
  </si>
  <si>
    <t>Оснащенных бытовыми электроплитами (тыс. кв.м)</t>
  </si>
  <si>
    <t>1.9.</t>
  </si>
  <si>
    <t>Оборудованных охранно-защитной дератизационной системой (ОЗДС) (тыс.кв.м)</t>
  </si>
  <si>
    <t>1.10.</t>
  </si>
  <si>
    <t>К общему имуществу которых относятся установки (приборы) наружного освещения  (тыс.кв.м)</t>
  </si>
  <si>
    <t>2.9.</t>
  </si>
  <si>
    <t>2.10.</t>
  </si>
  <si>
    <t>2.</t>
  </si>
  <si>
    <t>Расходы по охране подъездов (содержание дежурных по подъезду и патрулирование)</t>
  </si>
  <si>
    <t>3.</t>
  </si>
  <si>
    <r>
      <rPr>
        <b/>
        <sz val="11"/>
        <rFont val="Times New Roman"/>
        <family val="1"/>
        <charset val="204"/>
      </rPr>
      <t>Расходы по содержанию и благоустройству земельного участка</t>
    </r>
    <r>
      <rPr>
        <sz val="11"/>
        <rFont val="Times New Roman"/>
        <family val="1"/>
        <charset val="204"/>
      </rPr>
      <t xml:space="preserve">, в установленном порядке включенного в состав общего имущества многоквартирного дома </t>
    </r>
    <r>
      <rPr>
        <b/>
        <sz val="11"/>
        <rFont val="Times New Roman"/>
        <family val="1"/>
        <charset val="204"/>
      </rPr>
      <t xml:space="preserve"> - всего:</t>
    </r>
  </si>
  <si>
    <t>из них:- зарплата с начислениями</t>
  </si>
  <si>
    <t>прочие расходы (спецодежда, материалы, вода, инвентарь и т.п.)</t>
  </si>
  <si>
    <t>содержание зеленых насаждений</t>
  </si>
  <si>
    <t>вывоз снега</t>
  </si>
  <si>
    <t>приобретение ПГМ</t>
  </si>
  <si>
    <t>амортизация по уборочной технике</t>
  </si>
  <si>
    <t>прочие расходы по содержанию дворовых территорий</t>
  </si>
  <si>
    <t>Расходы по эксплуатации и текущему ремонту общедомового оборудования, предназначенного для инвалидов и других лиц с ограничением жизнедеятельности (техническое обслуживание платформ подъемников для инвалидов)</t>
  </si>
  <si>
    <t>4.</t>
  </si>
  <si>
    <t>1) комплексное содержание земельного участка</t>
  </si>
  <si>
    <t>Расходы по техническому контролю за работой объектов инженерного и коммунального назначения жилых домов</t>
  </si>
  <si>
    <t>5.</t>
  </si>
  <si>
    <t>Расходы по эксплуатации общедомовый приборов учета расхода энергоресурсов, находящихся в оперативном управлении ГУ ИС</t>
  </si>
  <si>
    <t xml:space="preserve">6. </t>
  </si>
  <si>
    <t>Расходы по эксплуатации квартирных приборов учета расхода энергоресурсов, находящихся в оперативном управлении ГУ ИС</t>
  </si>
  <si>
    <t>7.</t>
  </si>
  <si>
    <t>Расходы по обслуживанию и текущему ремонту внутрикварльных коллекторов и водостоков, находящихся в оперативном управлении ГУ ИС</t>
  </si>
  <si>
    <t>8.</t>
  </si>
  <si>
    <t>Расходы по техническому обслуживанию (содержание и текущий ремонт)подземных внутриквартальных сетей водоудаления (водовыпуски, дренажи, водостоки), закрепленных на праве оперативного управления за ГУ ИС</t>
  </si>
  <si>
    <t>9.</t>
  </si>
  <si>
    <t>Расходы на общегородские мероприятия</t>
  </si>
  <si>
    <t>10.</t>
  </si>
  <si>
    <t>Техническая инвентаризация многоквартирных домов и земельных участков</t>
  </si>
  <si>
    <t>11.</t>
  </si>
  <si>
    <t>Прочие расходы, за исключением вышеперечисленных (данные расшифровываются по видам расходов)</t>
  </si>
  <si>
    <t>Итого по разделу 2</t>
  </si>
  <si>
    <t>Площадь земельного участка, в установленном порядке включенного в состав общего имущества многоквартирного дома (в тыс.кв.м)</t>
  </si>
  <si>
    <t>Общая площадь жилых помещений в многоквартирных домах, имеющих земельный участок, в установленном порядке включенный в состав общего имущества в многоквартирном доме (в тыс.кв.м)</t>
  </si>
  <si>
    <r>
      <t xml:space="preserve">СПРАВОЧНО: площадь(в тыс.кв.м, с одним десятичным знаком)
</t>
    </r>
    <r>
      <rPr>
        <b/>
        <sz val="11"/>
        <rFont val="Times New Roman"/>
        <family val="1"/>
        <charset val="204"/>
      </rPr>
      <t>Общая площадь</t>
    </r>
    <r>
      <rPr>
        <sz val="11"/>
        <rFont val="Times New Roman"/>
        <family val="1"/>
        <charset val="204"/>
      </rPr>
      <t xml:space="preserve"> жилых помещений в многоквартирных домах</t>
    </r>
  </si>
  <si>
    <t>Расходы управляющих организаций на содержание и текущий ремонт общего имущества в многоквартирных домах, получающих и не получающих субсидии из бюджета города Москвы на содержание и текущий ремонт общего имущества в многоквартирном доме, работающих по ценам и тарифам Правительства  Москвы</t>
  </si>
  <si>
    <t>Оборудованных мусоропроводом(в тыс.кв.м)</t>
  </si>
  <si>
    <t>Оборудованных лифтами (без скоростных лифтов)(в тыс.кв.м) - всего</t>
  </si>
  <si>
    <t>Оборудованных, внутридомовым газопроводом (в тыс.кв.м)- всего</t>
  </si>
  <si>
    <t>Оборудованная индивидульными тепловыми пунктами (в тыс.кв.м)</t>
  </si>
  <si>
    <t>Оборудованных скоростными лифтами(в тыс.кв.м)</t>
  </si>
  <si>
    <t>Оборудованных, внутридомовым газопроводом(в тыс.кв.м) - всего</t>
  </si>
  <si>
    <t>Оборудованная индивидульными тепловыми пунктами(в тыс.кв.м)</t>
  </si>
  <si>
    <t>а) обучение, переподготовка кадров</t>
  </si>
  <si>
    <t>б) услуги связи</t>
  </si>
  <si>
    <t>в) програмное обеспечение</t>
  </si>
  <si>
    <t xml:space="preserve">г) информационные, аудиторские, консультационные услуги </t>
  </si>
  <si>
    <t>д) канцелярские расходы</t>
  </si>
  <si>
    <t>е) содержание помещений АУП</t>
  </si>
  <si>
    <t xml:space="preserve"> -</t>
  </si>
  <si>
    <t>3)ремонт и обслуживание расширительных баков</t>
  </si>
  <si>
    <t>4) ремонт лифтов (частичн.)</t>
  </si>
  <si>
    <t>5) замена водосчетчиков</t>
  </si>
  <si>
    <t>ж) услуги по проведению мед.осмотров</t>
  </si>
  <si>
    <t>2020 год
план</t>
  </si>
  <si>
    <t>2021 год (прогноз)
прогноз</t>
  </si>
  <si>
    <t>2019 год (факт)
отчет</t>
  </si>
  <si>
    <t>по жилым домам, построенным с 1954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</si>
</sst>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0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0" fillId="0" borderId="0" xfId="1" applyFont="1" applyAlignment="1">
      <alignment horizontal="left" wrapText="1"/>
    </xf>
    <xf numFmtId="0" fontId="10" fillId="0" borderId="0" xfId="3" applyFont="1" applyAlignment="1">
      <alignment horizontal="left" vertical="top" wrapText="1"/>
    </xf>
    <xf numFmtId="0" fontId="1" fillId="0" borderId="0" xfId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 wrapText="1"/>
    </xf>
    <xf numFmtId="0" fontId="0" fillId="0" borderId="2" xfId="0" applyBorder="1" applyAlignment="1">
      <alignment horizontal="left" vertical="top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indent="1"/>
    </xf>
    <xf numFmtId="0" fontId="3" fillId="0" borderId="5" xfId="1" applyFont="1" applyFill="1" applyBorder="1" applyAlignment="1">
      <alignment horizontal="left" vertical="center" inden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64" fontId="4" fillId="0" borderId="5" xfId="1" applyNumberFormat="1" applyFont="1" applyFill="1" applyBorder="1" applyAlignment="1">
      <alignment horizontal="right" wrapText="1"/>
    </xf>
    <xf numFmtId="164" fontId="4" fillId="0" borderId="6" xfId="1" applyNumberFormat="1" applyFont="1" applyFill="1" applyBorder="1" applyAlignment="1">
      <alignment horizontal="right" wrapText="1"/>
    </xf>
    <xf numFmtId="0" fontId="0" fillId="0" borderId="7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9" fillId="0" borderId="2" xfId="3" applyFont="1" applyFill="1" applyBorder="1" applyAlignment="1">
      <alignment horizontal="center" vertical="top"/>
    </xf>
    <xf numFmtId="49" fontId="9" fillId="0" borderId="2" xfId="3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3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center" wrapText="1"/>
    </xf>
    <xf numFmtId="164" fontId="1" fillId="0" borderId="6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/>
    </xf>
    <xf numFmtId="0" fontId="9" fillId="0" borderId="3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0" fontId="9" fillId="0" borderId="4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9" fillId="0" borderId="4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164" fontId="4" fillId="3" borderId="5" xfId="1" applyNumberFormat="1" applyFont="1" applyFill="1" applyBorder="1" applyAlignment="1">
      <alignment horizontal="right" wrapText="1"/>
    </xf>
    <xf numFmtId="0" fontId="0" fillId="3" borderId="2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14" fillId="0" borderId="0" xfId="3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4" fillId="0" borderId="0" xfId="1" applyNumberFormat="1" applyFont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top" wrapText="1"/>
    </xf>
    <xf numFmtId="0" fontId="14" fillId="3" borderId="2" xfId="1" applyNumberFormat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left" vertical="center" wrapText="1" indent="1"/>
    </xf>
    <xf numFmtId="0" fontId="11" fillId="0" borderId="5" xfId="1" applyFont="1" applyFill="1" applyBorder="1" applyAlignment="1">
      <alignment horizontal="left" vertical="center" wrapText="1" indent="1"/>
    </xf>
    <xf numFmtId="0" fontId="6" fillId="0" borderId="9" xfId="2" applyFont="1" applyFill="1" applyBorder="1"/>
    <xf numFmtId="0" fontId="1" fillId="0" borderId="3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4" fillId="0" borderId="4" xfId="1" applyNumberFormat="1" applyFont="1" applyFill="1" applyBorder="1" applyAlignment="1">
      <alignment horizontal="center" vertical="top" wrapText="1"/>
    </xf>
    <xf numFmtId="0" fontId="14" fillId="0" borderId="5" xfId="1" applyNumberFormat="1" applyFont="1" applyFill="1" applyBorder="1" applyAlignment="1">
      <alignment horizontal="center" vertical="top" wrapText="1"/>
    </xf>
    <xf numFmtId="0" fontId="14" fillId="0" borderId="6" xfId="1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left" wrapText="1"/>
    </xf>
    <xf numFmtId="0" fontId="10" fillId="0" borderId="0" xfId="3" applyFont="1" applyFill="1" applyAlignment="1">
      <alignment horizontal="left" vertical="top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 2" xfId="2"/>
    <cellStyle name="Обычный_Справка о себестоимост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4" sqref="B4:B5"/>
    </sheetView>
  </sheetViews>
  <sheetFormatPr defaultRowHeight="14.25" x14ac:dyDescent="0.2"/>
  <cols>
    <col min="1" max="1" width="5.5" style="2" customWidth="1"/>
    <col min="2" max="2" width="40.875" style="1" customWidth="1"/>
    <col min="3" max="3" width="9.125" style="2" hidden="1" customWidth="1"/>
    <col min="4" max="4" width="13.625" style="2" customWidth="1"/>
    <col min="5" max="5" width="10.75" style="2" customWidth="1"/>
    <col min="6" max="6" width="8.75" style="2" hidden="1" customWidth="1"/>
    <col min="7" max="7" width="13.875" style="76" customWidth="1"/>
    <col min="8" max="8" width="12.375" style="76" customWidth="1"/>
    <col min="9" max="9" width="8.875" style="2" hidden="1" customWidth="1"/>
    <col min="10" max="10" width="14.625" style="2" customWidth="1"/>
    <col min="11" max="11" width="9.5" style="2" customWidth="1"/>
    <col min="12" max="12" width="11.375" style="2" customWidth="1"/>
    <col min="13" max="16384" width="9" style="2"/>
  </cols>
  <sheetData>
    <row r="1" spans="1:13" ht="15" customHeight="1" x14ac:dyDescent="0.25">
      <c r="A1" s="94" t="s">
        <v>149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2"/>
      <c r="M1" s="12"/>
    </row>
    <row r="2" spans="1:13" ht="20.25" customHeight="1" x14ac:dyDescent="0.2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3"/>
      <c r="M2" s="13"/>
    </row>
    <row r="3" spans="1:13" ht="18" customHeight="1" x14ac:dyDescent="0.25">
      <c r="A3" s="86"/>
      <c r="B3" s="86"/>
      <c r="C3" s="102" t="s">
        <v>55</v>
      </c>
      <c r="D3" s="102"/>
      <c r="E3" s="102"/>
      <c r="F3" s="102"/>
      <c r="G3" s="102"/>
      <c r="H3" s="102"/>
      <c r="I3" s="102"/>
      <c r="J3" s="102"/>
      <c r="K3" s="102"/>
      <c r="L3" s="14"/>
      <c r="M3" s="14"/>
    </row>
    <row r="4" spans="1:13" s="78" customFormat="1" ht="18.75" customHeight="1" x14ac:dyDescent="0.2">
      <c r="A4" s="96" t="s">
        <v>48</v>
      </c>
      <c r="B4" s="97" t="s">
        <v>49</v>
      </c>
      <c r="C4" s="99" t="s">
        <v>50</v>
      </c>
      <c r="D4" s="100"/>
      <c r="E4" s="100"/>
      <c r="F4" s="100"/>
      <c r="G4" s="100"/>
      <c r="H4" s="100"/>
      <c r="I4" s="100"/>
      <c r="J4" s="100"/>
      <c r="K4" s="101"/>
      <c r="L4" s="77"/>
      <c r="M4" s="77"/>
    </row>
    <row r="5" spans="1:13" s="78" customFormat="1" ht="15.75" customHeight="1" x14ac:dyDescent="0.2">
      <c r="A5" s="96"/>
      <c r="B5" s="98"/>
      <c r="C5" s="90" t="s">
        <v>170</v>
      </c>
      <c r="D5" s="91"/>
      <c r="E5" s="92"/>
      <c r="F5" s="90" t="s">
        <v>168</v>
      </c>
      <c r="G5" s="91"/>
      <c r="H5" s="91"/>
      <c r="I5" s="90" t="s">
        <v>169</v>
      </c>
      <c r="J5" s="91"/>
      <c r="K5" s="92"/>
      <c r="L5" s="79"/>
      <c r="M5" s="79"/>
    </row>
    <row r="6" spans="1:13" s="78" customFormat="1" ht="99" customHeight="1" x14ac:dyDescent="0.2">
      <c r="A6" s="80"/>
      <c r="B6" s="81"/>
      <c r="C6" s="82" t="s">
        <v>88</v>
      </c>
      <c r="D6" s="82" t="s">
        <v>171</v>
      </c>
      <c r="E6" s="82" t="s">
        <v>89</v>
      </c>
      <c r="F6" s="82" t="s">
        <v>88</v>
      </c>
      <c r="G6" s="83" t="s">
        <v>171</v>
      </c>
      <c r="H6" s="83" t="s">
        <v>89</v>
      </c>
      <c r="I6" s="82" t="s">
        <v>88</v>
      </c>
      <c r="J6" s="82" t="s">
        <v>171</v>
      </c>
      <c r="K6" s="82" t="s">
        <v>89</v>
      </c>
      <c r="L6" s="79"/>
      <c r="M6" s="79"/>
    </row>
    <row r="7" spans="1:13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67">
        <v>7</v>
      </c>
      <c r="H7" s="67">
        <v>8</v>
      </c>
      <c r="I7" s="21">
        <v>9</v>
      </c>
      <c r="J7" s="21">
        <v>10</v>
      </c>
      <c r="K7" s="21">
        <v>11</v>
      </c>
      <c r="L7" s="15"/>
      <c r="M7" s="15"/>
    </row>
    <row r="8" spans="1:13" ht="18.75" x14ac:dyDescent="0.2">
      <c r="A8" s="22" t="s">
        <v>51</v>
      </c>
      <c r="B8" s="23"/>
      <c r="C8" s="24"/>
      <c r="D8" s="24"/>
      <c r="E8" s="24"/>
      <c r="F8" s="24"/>
      <c r="G8" s="68"/>
      <c r="H8" s="68"/>
      <c r="I8" s="24"/>
      <c r="J8" s="24"/>
      <c r="K8" s="25"/>
      <c r="L8" s="15"/>
      <c r="M8" s="15"/>
    </row>
    <row r="9" spans="1:13" ht="93.75" customHeight="1" x14ac:dyDescent="0.25">
      <c r="A9" s="26">
        <v>1</v>
      </c>
      <c r="B9" s="10" t="s">
        <v>4</v>
      </c>
      <c r="C9" s="27"/>
      <c r="D9" s="27"/>
      <c r="E9" s="27"/>
      <c r="F9" s="27"/>
      <c r="G9" s="69">
        <f>G11+G12</f>
        <v>20220.394160000003</v>
      </c>
      <c r="H9" s="69">
        <f>G9</f>
        <v>20220.394160000003</v>
      </c>
      <c r="I9" s="27"/>
      <c r="J9" s="27"/>
      <c r="K9" s="27"/>
      <c r="L9" s="16"/>
      <c r="M9" s="16"/>
    </row>
    <row r="10" spans="1:13" ht="15" x14ac:dyDescent="0.25">
      <c r="A10" s="26"/>
      <c r="B10" s="11" t="s">
        <v>3</v>
      </c>
      <c r="C10" s="28"/>
      <c r="D10" s="28"/>
      <c r="E10" s="28"/>
      <c r="F10" s="28"/>
      <c r="G10" s="70"/>
      <c r="H10" s="69">
        <f t="shared" ref="H10:H72" si="0">G10</f>
        <v>0</v>
      </c>
      <c r="I10" s="28"/>
      <c r="J10" s="28"/>
      <c r="K10" s="28"/>
      <c r="L10" s="16"/>
      <c r="M10" s="16"/>
    </row>
    <row r="11" spans="1:13" ht="15" x14ac:dyDescent="0.25">
      <c r="A11" s="26"/>
      <c r="B11" s="10" t="s">
        <v>5</v>
      </c>
      <c r="C11" s="27"/>
      <c r="D11" s="27"/>
      <c r="E11" s="27"/>
      <c r="F11" s="27"/>
      <c r="G11" s="70">
        <f>(10138909.1+8004100)/1000</f>
        <v>18143.009100000003</v>
      </c>
      <c r="H11" s="69">
        <f t="shared" si="0"/>
        <v>18143.009100000003</v>
      </c>
      <c r="I11" s="27"/>
      <c r="J11" s="27"/>
      <c r="K11" s="27"/>
      <c r="L11" s="16"/>
      <c r="M11" s="16"/>
    </row>
    <row r="12" spans="1:13" ht="15" x14ac:dyDescent="0.25">
      <c r="A12" s="26"/>
      <c r="B12" s="7" t="s">
        <v>72</v>
      </c>
      <c r="C12" s="29"/>
      <c r="D12" s="29">
        <f>D13+D14+D15+D16+D17+D18</f>
        <v>1978.0935900000002</v>
      </c>
      <c r="E12" s="29"/>
      <c r="F12" s="29"/>
      <c r="G12" s="70">
        <f>G13+G14+G15+G16+G17+G18</f>
        <v>2077.3850599999996</v>
      </c>
      <c r="H12" s="69">
        <f t="shared" si="0"/>
        <v>2077.3850599999996</v>
      </c>
      <c r="I12" s="29"/>
      <c r="J12" s="29"/>
      <c r="K12" s="29"/>
      <c r="L12" s="16"/>
      <c r="M12" s="16"/>
    </row>
    <row r="13" spans="1:13" ht="15" x14ac:dyDescent="0.25">
      <c r="A13" s="26"/>
      <c r="B13" s="6" t="s">
        <v>157</v>
      </c>
      <c r="C13" s="29"/>
      <c r="D13" s="29">
        <f>202900/1000</f>
        <v>202.9</v>
      </c>
      <c r="E13" s="29"/>
      <c r="F13" s="29"/>
      <c r="G13" s="70">
        <f>(289200)/1000</f>
        <v>289.2</v>
      </c>
      <c r="H13" s="69">
        <f t="shared" si="0"/>
        <v>289.2</v>
      </c>
      <c r="I13" s="29"/>
      <c r="J13" s="29"/>
      <c r="K13" s="29"/>
      <c r="L13" s="16"/>
      <c r="M13" s="16"/>
    </row>
    <row r="14" spans="1:13" ht="15" x14ac:dyDescent="0.25">
      <c r="A14" s="26"/>
      <c r="B14" s="6" t="s">
        <v>158</v>
      </c>
      <c r="C14" s="29"/>
      <c r="D14" s="29">
        <f>384027.19/1000</f>
        <v>384.02719000000002</v>
      </c>
      <c r="E14" s="29"/>
      <c r="F14" s="29"/>
      <c r="G14" s="70">
        <f>(303456)/1000</f>
        <v>303.45600000000002</v>
      </c>
      <c r="H14" s="69">
        <f t="shared" si="0"/>
        <v>303.45600000000002</v>
      </c>
      <c r="I14" s="29"/>
      <c r="J14" s="29"/>
      <c r="K14" s="29"/>
      <c r="L14" s="16"/>
      <c r="M14" s="16"/>
    </row>
    <row r="15" spans="1:13" ht="15" x14ac:dyDescent="0.25">
      <c r="A15" s="26"/>
      <c r="B15" s="6" t="s">
        <v>159</v>
      </c>
      <c r="C15" s="29"/>
      <c r="D15" s="29">
        <f>896836/1000</f>
        <v>896.83600000000001</v>
      </c>
      <c r="E15" s="29"/>
      <c r="F15" s="29"/>
      <c r="G15" s="70">
        <f>(638100)/1000</f>
        <v>638.1</v>
      </c>
      <c r="H15" s="69">
        <f t="shared" si="0"/>
        <v>638.1</v>
      </c>
      <c r="I15" s="29"/>
      <c r="J15" s="29"/>
      <c r="K15" s="29"/>
      <c r="L15" s="16"/>
      <c r="M15" s="16"/>
    </row>
    <row r="16" spans="1:13" ht="30" x14ac:dyDescent="0.25">
      <c r="A16" s="26"/>
      <c r="B16" s="6" t="s">
        <v>160</v>
      </c>
      <c r="C16" s="29"/>
      <c r="D16" s="29">
        <f>179535/1000</f>
        <v>179.535</v>
      </c>
      <c r="E16" s="29"/>
      <c r="F16" s="29"/>
      <c r="G16" s="70">
        <f>(202225)/1000</f>
        <v>202.22499999999999</v>
      </c>
      <c r="H16" s="69">
        <f t="shared" si="0"/>
        <v>202.22499999999999</v>
      </c>
      <c r="I16" s="29"/>
      <c r="J16" s="29"/>
      <c r="K16" s="29"/>
      <c r="L16" s="16"/>
      <c r="M16" s="16"/>
    </row>
    <row r="17" spans="1:13" ht="15" x14ac:dyDescent="0.25">
      <c r="A17" s="26"/>
      <c r="B17" s="6" t="s">
        <v>161</v>
      </c>
      <c r="C17" s="29"/>
      <c r="D17" s="29">
        <f>(69635.5+81650)/1000</f>
        <v>151.28550000000001</v>
      </c>
      <c r="E17" s="29"/>
      <c r="F17" s="29"/>
      <c r="G17" s="70">
        <f>(123633)/1000</f>
        <v>123.633</v>
      </c>
      <c r="H17" s="69">
        <f t="shared" si="0"/>
        <v>123.633</v>
      </c>
      <c r="I17" s="29"/>
      <c r="J17" s="29"/>
      <c r="K17" s="29"/>
      <c r="L17" s="16"/>
      <c r="M17" s="16"/>
    </row>
    <row r="18" spans="1:13" ht="15" x14ac:dyDescent="0.25">
      <c r="A18" s="26"/>
      <c r="B18" s="6" t="s">
        <v>162</v>
      </c>
      <c r="C18" s="29"/>
      <c r="D18" s="29">
        <f>163509.9/1000</f>
        <v>163.50989999999999</v>
      </c>
      <c r="E18" s="29"/>
      <c r="F18" s="29"/>
      <c r="G18" s="70">
        <f>(520771.06)/1000</f>
        <v>520.77106000000003</v>
      </c>
      <c r="H18" s="69">
        <f t="shared" si="0"/>
        <v>520.77106000000003</v>
      </c>
      <c r="I18" s="29"/>
      <c r="J18" s="29"/>
      <c r="K18" s="29"/>
      <c r="L18" s="16"/>
      <c r="M18" s="16"/>
    </row>
    <row r="19" spans="1:13" ht="15" x14ac:dyDescent="0.25">
      <c r="A19" s="26"/>
      <c r="B19" s="7" t="s">
        <v>167</v>
      </c>
      <c r="C19" s="29"/>
      <c r="D19" s="29">
        <f>165400/1000</f>
        <v>165.4</v>
      </c>
      <c r="E19" s="29"/>
      <c r="F19" s="29"/>
      <c r="G19" s="70"/>
      <c r="H19" s="69">
        <f t="shared" si="0"/>
        <v>0</v>
      </c>
      <c r="I19" s="29"/>
      <c r="J19" s="29"/>
      <c r="K19" s="29"/>
      <c r="L19" s="16"/>
      <c r="M19" s="16"/>
    </row>
    <row r="20" spans="1:13" ht="45" x14ac:dyDescent="0.25">
      <c r="A20" s="30">
        <v>2</v>
      </c>
      <c r="B20" s="7" t="s">
        <v>6</v>
      </c>
      <c r="C20" s="29"/>
      <c r="D20" s="29">
        <v>0</v>
      </c>
      <c r="E20" s="29">
        <v>0</v>
      </c>
      <c r="F20" s="29"/>
      <c r="G20" s="70">
        <v>0</v>
      </c>
      <c r="H20" s="69">
        <f t="shared" si="0"/>
        <v>0</v>
      </c>
      <c r="I20" s="29"/>
      <c r="J20" s="29"/>
      <c r="K20" s="29"/>
      <c r="L20" s="16"/>
      <c r="M20" s="16"/>
    </row>
    <row r="21" spans="1:13" ht="45" x14ac:dyDescent="0.25">
      <c r="A21" s="31">
        <v>3</v>
      </c>
      <c r="B21" s="7" t="s">
        <v>8</v>
      </c>
      <c r="C21" s="29"/>
      <c r="D21" s="29">
        <f>D23+D24+D25</f>
        <v>27174.30991</v>
      </c>
      <c r="E21" s="29"/>
      <c r="F21" s="29"/>
      <c r="G21" s="70">
        <f>G23+G24+G25</f>
        <v>34870.936229999999</v>
      </c>
      <c r="H21" s="69">
        <f t="shared" si="0"/>
        <v>34870.936229999999</v>
      </c>
      <c r="I21" s="29"/>
      <c r="J21" s="29"/>
      <c r="K21" s="29"/>
      <c r="L21" s="16"/>
      <c r="M21" s="16"/>
    </row>
    <row r="22" spans="1:13" ht="15" x14ac:dyDescent="0.25">
      <c r="A22" s="26"/>
      <c r="B22" s="11" t="s">
        <v>3</v>
      </c>
      <c r="C22" s="28"/>
      <c r="D22" s="28"/>
      <c r="E22" s="28"/>
      <c r="F22" s="28"/>
      <c r="G22" s="71"/>
      <c r="H22" s="69">
        <f t="shared" si="0"/>
        <v>0</v>
      </c>
      <c r="I22" s="28"/>
      <c r="J22" s="28"/>
      <c r="K22" s="28"/>
      <c r="L22" s="16"/>
      <c r="M22" s="16"/>
    </row>
    <row r="23" spans="1:13" ht="15" x14ac:dyDescent="0.25">
      <c r="A23" s="26"/>
      <c r="B23" s="10" t="s">
        <v>7</v>
      </c>
      <c r="C23" s="27"/>
      <c r="D23" s="27">
        <v>23334.677</v>
      </c>
      <c r="E23" s="27"/>
      <c r="F23" s="27"/>
      <c r="G23" s="69">
        <f>30989203.7/1000</f>
        <v>30989.203699999998</v>
      </c>
      <c r="H23" s="69">
        <f t="shared" si="0"/>
        <v>30989.203699999998</v>
      </c>
      <c r="I23" s="27"/>
      <c r="J23" s="27"/>
      <c r="K23" s="27"/>
      <c r="L23" s="16"/>
      <c r="M23" s="16"/>
    </row>
    <row r="24" spans="1:13" ht="15" x14ac:dyDescent="0.25">
      <c r="A24" s="26"/>
      <c r="B24" s="7" t="s">
        <v>37</v>
      </c>
      <c r="C24" s="29"/>
      <c r="D24" s="29">
        <f>2045746.97/1000</f>
        <v>2045.7469699999999</v>
      </c>
      <c r="E24" s="29"/>
      <c r="F24" s="29"/>
      <c r="G24" s="70">
        <f>1950969.32/1000</f>
        <v>1950.9693200000002</v>
      </c>
      <c r="H24" s="69">
        <f t="shared" si="0"/>
        <v>1950.9693200000002</v>
      </c>
      <c r="I24" s="29"/>
      <c r="J24" s="29"/>
      <c r="K24" s="29"/>
      <c r="L24" s="16"/>
      <c r="M24" s="16"/>
    </row>
    <row r="25" spans="1:13" ht="15" x14ac:dyDescent="0.25">
      <c r="A25" s="26"/>
      <c r="B25" s="32" t="s">
        <v>78</v>
      </c>
      <c r="C25" s="29"/>
      <c r="D25" s="29">
        <f>D26+D27+D28</f>
        <v>1793.8859399999999</v>
      </c>
      <c r="E25" s="29"/>
      <c r="F25" s="29"/>
      <c r="G25" s="70">
        <f>G26+G27+G28</f>
        <v>1930.7632100000001</v>
      </c>
      <c r="H25" s="69">
        <f t="shared" si="0"/>
        <v>1930.7632100000001</v>
      </c>
      <c r="I25" s="29"/>
      <c r="J25" s="29"/>
      <c r="K25" s="29"/>
      <c r="L25" s="16"/>
      <c r="M25" s="16"/>
    </row>
    <row r="26" spans="1:13" ht="15" x14ac:dyDescent="0.25">
      <c r="A26" s="26"/>
      <c r="B26" s="7" t="s">
        <v>76</v>
      </c>
      <c r="C26" s="29"/>
      <c r="D26" s="29">
        <f>1641734/1000</f>
        <v>1641.7339999999999</v>
      </c>
      <c r="E26" s="29"/>
      <c r="F26" s="29"/>
      <c r="G26" s="70">
        <f>1762855.55/1000</f>
        <v>1762.85555</v>
      </c>
      <c r="H26" s="69">
        <f t="shared" si="0"/>
        <v>1762.85555</v>
      </c>
      <c r="I26" s="29"/>
      <c r="J26" s="29"/>
      <c r="K26" s="29"/>
      <c r="L26" s="16"/>
      <c r="M26" s="16"/>
    </row>
    <row r="27" spans="1:13" ht="15" x14ac:dyDescent="0.25">
      <c r="A27" s="26"/>
      <c r="B27" s="7" t="s">
        <v>75</v>
      </c>
      <c r="C27" s="29"/>
      <c r="D27" s="29">
        <f>128869.53/1000</f>
        <v>128.86953</v>
      </c>
      <c r="E27" s="29"/>
      <c r="F27" s="29"/>
      <c r="G27" s="70">
        <f>142215.29/1000</f>
        <v>142.21529000000001</v>
      </c>
      <c r="H27" s="69">
        <f t="shared" si="0"/>
        <v>142.21529000000001</v>
      </c>
      <c r="I27" s="29"/>
      <c r="J27" s="29"/>
      <c r="K27" s="29"/>
      <c r="L27" s="16"/>
      <c r="M27" s="16"/>
    </row>
    <row r="28" spans="1:13" ht="15" x14ac:dyDescent="0.25">
      <c r="A28" s="26"/>
      <c r="B28" s="7" t="s">
        <v>77</v>
      </c>
      <c r="C28" s="29"/>
      <c r="D28" s="29">
        <f>23282.41/1000</f>
        <v>23.282409999999999</v>
      </c>
      <c r="E28" s="29"/>
      <c r="F28" s="29"/>
      <c r="G28" s="70">
        <f>25692.37/1000</f>
        <v>25.69237</v>
      </c>
      <c r="H28" s="69">
        <f t="shared" si="0"/>
        <v>25.69237</v>
      </c>
      <c r="I28" s="29"/>
      <c r="J28" s="29"/>
      <c r="K28" s="29"/>
      <c r="L28" s="16"/>
      <c r="M28" s="16"/>
    </row>
    <row r="29" spans="1:13" ht="15" x14ac:dyDescent="0.25">
      <c r="A29" s="26"/>
      <c r="B29" s="7" t="s">
        <v>85</v>
      </c>
      <c r="C29" s="29"/>
      <c r="D29" s="29"/>
      <c r="E29" s="29"/>
      <c r="F29" s="29"/>
      <c r="G29" s="70"/>
      <c r="H29" s="69">
        <f t="shared" si="0"/>
        <v>0</v>
      </c>
      <c r="I29" s="29"/>
      <c r="J29" s="29"/>
      <c r="K29" s="29"/>
      <c r="L29" s="16"/>
      <c r="M29" s="16"/>
    </row>
    <row r="30" spans="1:13" ht="15" x14ac:dyDescent="0.25">
      <c r="A30" s="26"/>
      <c r="B30" s="7"/>
      <c r="C30" s="29"/>
      <c r="D30" s="29"/>
      <c r="E30" s="29"/>
      <c r="F30" s="29"/>
      <c r="G30" s="70"/>
      <c r="H30" s="69">
        <f t="shared" si="0"/>
        <v>0</v>
      </c>
      <c r="I30" s="29"/>
      <c r="J30" s="29"/>
      <c r="K30" s="29"/>
      <c r="L30" s="16"/>
      <c r="M30" s="16"/>
    </row>
    <row r="31" spans="1:13" ht="75" x14ac:dyDescent="0.25">
      <c r="A31" s="31">
        <v>4</v>
      </c>
      <c r="B31" s="7" t="s">
        <v>56</v>
      </c>
      <c r="C31" s="29"/>
      <c r="D31" s="29">
        <f>D33+D34+D35</f>
        <v>35774.29926</v>
      </c>
      <c r="E31" s="29"/>
      <c r="F31" s="29"/>
      <c r="G31" s="70">
        <f>G33+G34+G35</f>
        <v>37141.962325</v>
      </c>
      <c r="H31" s="69">
        <f t="shared" si="0"/>
        <v>37141.962325</v>
      </c>
      <c r="I31" s="29"/>
      <c r="J31" s="29"/>
      <c r="K31" s="29"/>
      <c r="L31" s="16"/>
      <c r="M31" s="16"/>
    </row>
    <row r="32" spans="1:13" ht="15" x14ac:dyDescent="0.25">
      <c r="A32" s="26"/>
      <c r="B32" s="11" t="s">
        <v>3</v>
      </c>
      <c r="C32" s="28"/>
      <c r="D32" s="28"/>
      <c r="E32" s="28"/>
      <c r="F32" s="28"/>
      <c r="G32" s="71"/>
      <c r="H32" s="69">
        <f t="shared" si="0"/>
        <v>0</v>
      </c>
      <c r="I32" s="28"/>
      <c r="J32" s="28"/>
      <c r="K32" s="28"/>
      <c r="L32" s="16"/>
      <c r="M32" s="16"/>
    </row>
    <row r="33" spans="1:13" ht="15" x14ac:dyDescent="0.25">
      <c r="A33" s="26"/>
      <c r="B33" s="10" t="s">
        <v>9</v>
      </c>
      <c r="C33" s="27"/>
      <c r="D33" s="27">
        <f>24981.558</f>
        <v>24981.558000000001</v>
      </c>
      <c r="E33" s="27"/>
      <c r="F33" s="27"/>
      <c r="G33" s="69">
        <f>26303438.2/1000</f>
        <v>26303.438200000001</v>
      </c>
      <c r="H33" s="69">
        <f t="shared" si="0"/>
        <v>26303.438200000001</v>
      </c>
      <c r="I33" s="27"/>
      <c r="J33" s="27"/>
      <c r="K33" s="27"/>
      <c r="L33" s="16"/>
      <c r="M33" s="16"/>
    </row>
    <row r="34" spans="1:13" ht="15" x14ac:dyDescent="0.25">
      <c r="A34" s="26"/>
      <c r="B34" s="7" t="s">
        <v>37</v>
      </c>
      <c r="C34" s="29"/>
      <c r="D34" s="29">
        <f>2693175.96/1000</f>
        <v>2693.17596</v>
      </c>
      <c r="E34" s="29"/>
      <c r="F34" s="29"/>
      <c r="G34" s="70">
        <f>2078032.015/1000</f>
        <v>2078.0320149999998</v>
      </c>
      <c r="H34" s="69">
        <f t="shared" si="0"/>
        <v>2078.0320149999998</v>
      </c>
      <c r="I34" s="29"/>
      <c r="J34" s="29"/>
      <c r="K34" s="29"/>
      <c r="L34" s="16"/>
      <c r="M34" s="16"/>
    </row>
    <row r="35" spans="1:13" ht="15" x14ac:dyDescent="0.25">
      <c r="A35" s="26"/>
      <c r="B35" s="32" t="s">
        <v>78</v>
      </c>
      <c r="C35" s="29"/>
      <c r="D35" s="29">
        <f>D36+D37+D38</f>
        <v>8099.5653000000002</v>
      </c>
      <c r="E35" s="29"/>
      <c r="F35" s="29"/>
      <c r="G35" s="70">
        <f>G36+G37+G38</f>
        <v>8760.4921099999992</v>
      </c>
      <c r="H35" s="69">
        <f t="shared" si="0"/>
        <v>8760.4921099999992</v>
      </c>
      <c r="I35" s="29"/>
      <c r="J35" s="29"/>
      <c r="K35" s="29"/>
      <c r="L35" s="16"/>
      <c r="M35" s="16"/>
    </row>
    <row r="36" spans="1:13" ht="15" x14ac:dyDescent="0.25">
      <c r="A36" s="26"/>
      <c r="B36" s="7" t="s">
        <v>76</v>
      </c>
      <c r="C36" s="29"/>
      <c r="D36" s="29">
        <f>7652.854</f>
        <v>7652.8540000000003</v>
      </c>
      <c r="E36" s="29"/>
      <c r="F36" s="29"/>
      <c r="G36" s="70">
        <f>8651039.76/1000</f>
        <v>8651.0397599999997</v>
      </c>
      <c r="H36" s="69">
        <f t="shared" si="0"/>
        <v>8651.0397599999997</v>
      </c>
      <c r="I36" s="29"/>
      <c r="J36" s="29"/>
      <c r="K36" s="29"/>
      <c r="L36" s="16"/>
      <c r="M36" s="16"/>
    </row>
    <row r="37" spans="1:13" ht="15" x14ac:dyDescent="0.25">
      <c r="A37" s="26"/>
      <c r="B37" s="7" t="s">
        <v>75</v>
      </c>
      <c r="C37" s="29"/>
      <c r="D37" s="29">
        <f>66.827</f>
        <v>66.826999999999998</v>
      </c>
      <c r="E37" s="29"/>
      <c r="F37" s="29"/>
      <c r="G37" s="70">
        <f>92702.35/1000</f>
        <v>92.70235000000001</v>
      </c>
      <c r="H37" s="69">
        <f t="shared" si="0"/>
        <v>92.70235000000001</v>
      </c>
      <c r="I37" s="29"/>
      <c r="J37" s="29"/>
      <c r="K37" s="29"/>
      <c r="L37" s="16"/>
      <c r="M37" s="16"/>
    </row>
    <row r="38" spans="1:13" ht="15" x14ac:dyDescent="0.25">
      <c r="A38" s="26"/>
      <c r="B38" s="7" t="s">
        <v>77</v>
      </c>
      <c r="C38" s="29"/>
      <c r="D38" s="29">
        <f>379884.3/1000</f>
        <v>379.8843</v>
      </c>
      <c r="E38" s="29"/>
      <c r="F38" s="29"/>
      <c r="G38" s="70">
        <v>16.75</v>
      </c>
      <c r="H38" s="69">
        <f t="shared" si="0"/>
        <v>16.75</v>
      </c>
      <c r="I38" s="29"/>
      <c r="J38" s="29"/>
      <c r="K38" s="29"/>
      <c r="L38" s="16"/>
      <c r="M38" s="16"/>
    </row>
    <row r="39" spans="1:13" ht="15" x14ac:dyDescent="0.25">
      <c r="A39" s="26"/>
      <c r="B39" s="7" t="s">
        <v>85</v>
      </c>
      <c r="C39" s="29"/>
      <c r="D39" s="29"/>
      <c r="E39" s="29"/>
      <c r="F39" s="29"/>
      <c r="G39" s="70"/>
      <c r="H39" s="69">
        <f t="shared" si="0"/>
        <v>0</v>
      </c>
      <c r="I39" s="29"/>
      <c r="J39" s="29"/>
      <c r="K39" s="29"/>
      <c r="L39" s="16"/>
      <c r="M39" s="16"/>
    </row>
    <row r="40" spans="1:13" ht="15" x14ac:dyDescent="0.25">
      <c r="A40" s="26"/>
      <c r="B40" s="7"/>
      <c r="C40" s="29"/>
      <c r="D40" s="29"/>
      <c r="E40" s="29"/>
      <c r="F40" s="29"/>
      <c r="G40" s="70"/>
      <c r="H40" s="69">
        <f t="shared" si="0"/>
        <v>0</v>
      </c>
      <c r="I40" s="29"/>
      <c r="J40" s="29"/>
      <c r="K40" s="29"/>
      <c r="L40" s="16"/>
      <c r="M40" s="16"/>
    </row>
    <row r="41" spans="1:13" ht="45" x14ac:dyDescent="0.25">
      <c r="A41" s="31">
        <v>5</v>
      </c>
      <c r="B41" s="7" t="s">
        <v>12</v>
      </c>
      <c r="C41" s="29"/>
      <c r="D41" s="29">
        <f>D43+D44</f>
        <v>2163.2743500000001</v>
      </c>
      <c r="E41" s="29"/>
      <c r="F41" s="29"/>
      <c r="G41" s="70">
        <f>G43+G44</f>
        <v>4839.1024500000003</v>
      </c>
      <c r="H41" s="69">
        <f t="shared" si="0"/>
        <v>4839.1024500000003</v>
      </c>
      <c r="I41" s="29"/>
      <c r="J41" s="29"/>
      <c r="K41" s="29"/>
      <c r="L41" s="16"/>
      <c r="M41" s="16"/>
    </row>
    <row r="42" spans="1:13" ht="15" x14ac:dyDescent="0.25">
      <c r="A42" s="26"/>
      <c r="B42" s="11" t="s">
        <v>3</v>
      </c>
      <c r="C42" s="28"/>
      <c r="D42" s="28"/>
      <c r="E42" s="28"/>
      <c r="F42" s="28"/>
      <c r="G42" s="71"/>
      <c r="H42" s="69">
        <f t="shared" si="0"/>
        <v>0</v>
      </c>
      <c r="I42" s="28"/>
      <c r="J42" s="28"/>
      <c r="K42" s="28"/>
      <c r="L42" s="16"/>
      <c r="M42" s="16"/>
    </row>
    <row r="43" spans="1:13" ht="15" x14ac:dyDescent="0.25">
      <c r="A43" s="26"/>
      <c r="B43" s="10" t="s">
        <v>10</v>
      </c>
      <c r="C43" s="27"/>
      <c r="D43" s="27">
        <f>2163274.35/1000</f>
        <v>2163.2743500000001</v>
      </c>
      <c r="E43" s="27"/>
      <c r="F43" s="27"/>
      <c r="G43" s="69">
        <f>4839102.45/1000</f>
        <v>4839.1024500000003</v>
      </c>
      <c r="H43" s="69">
        <f t="shared" si="0"/>
        <v>4839.1024500000003</v>
      </c>
      <c r="I43" s="27"/>
      <c r="J43" s="27"/>
      <c r="K43" s="27"/>
      <c r="L43" s="16"/>
      <c r="M43" s="16"/>
    </row>
    <row r="44" spans="1:13" ht="18.75" customHeight="1" x14ac:dyDescent="0.25">
      <c r="A44" s="33"/>
      <c r="B44" s="7" t="s">
        <v>11</v>
      </c>
      <c r="C44" s="29"/>
      <c r="D44" s="29">
        <v>0</v>
      </c>
      <c r="E44" s="29"/>
      <c r="F44" s="29"/>
      <c r="G44" s="70">
        <v>0</v>
      </c>
      <c r="H44" s="69">
        <f t="shared" si="0"/>
        <v>0</v>
      </c>
      <c r="I44" s="29"/>
      <c r="J44" s="29"/>
      <c r="K44" s="29"/>
      <c r="L44" s="16"/>
      <c r="M44" s="16"/>
    </row>
    <row r="45" spans="1:13" ht="45" x14ac:dyDescent="0.25">
      <c r="A45" s="30">
        <v>6</v>
      </c>
      <c r="B45" s="7" t="s">
        <v>0</v>
      </c>
      <c r="C45" s="29"/>
      <c r="D45" s="29">
        <f>888000/1000</f>
        <v>888</v>
      </c>
      <c r="E45" s="29"/>
      <c r="F45" s="29"/>
      <c r="G45" s="70">
        <v>0</v>
      </c>
      <c r="H45" s="69">
        <f t="shared" si="0"/>
        <v>0</v>
      </c>
      <c r="I45" s="29"/>
      <c r="J45" s="29"/>
      <c r="K45" s="29"/>
      <c r="L45" s="16"/>
      <c r="M45" s="16"/>
    </row>
    <row r="46" spans="1:13" ht="46.5" customHeight="1" x14ac:dyDescent="0.25">
      <c r="A46" s="30">
        <v>7</v>
      </c>
      <c r="B46" s="7" t="s">
        <v>1</v>
      </c>
      <c r="C46" s="29"/>
      <c r="D46" s="29">
        <f>246557.95/1000</f>
        <v>246.55795000000001</v>
      </c>
      <c r="E46" s="29"/>
      <c r="F46" s="29"/>
      <c r="G46" s="70">
        <f>280548.75/1000</f>
        <v>280.54874999999998</v>
      </c>
      <c r="H46" s="69">
        <f t="shared" si="0"/>
        <v>280.54874999999998</v>
      </c>
      <c r="I46" s="29"/>
      <c r="J46" s="29"/>
      <c r="K46" s="29"/>
      <c r="L46" s="16"/>
      <c r="M46" s="16"/>
    </row>
    <row r="47" spans="1:13" ht="73.5" customHeight="1" x14ac:dyDescent="0.25">
      <c r="A47" s="31">
        <v>8</v>
      </c>
      <c r="B47" s="7" t="s">
        <v>2</v>
      </c>
      <c r="C47" s="29"/>
      <c r="D47" s="29">
        <f>12089814.61/1000</f>
        <v>12089.814609999999</v>
      </c>
      <c r="E47" s="29"/>
      <c r="F47" s="29"/>
      <c r="G47" s="70">
        <f>17925846.59/1000</f>
        <v>17925.846590000001</v>
      </c>
      <c r="H47" s="69">
        <f t="shared" si="0"/>
        <v>17925.846590000001</v>
      </c>
      <c r="I47" s="29"/>
      <c r="J47" s="29"/>
      <c r="K47" s="29"/>
      <c r="L47" s="16"/>
      <c r="M47" s="16"/>
    </row>
    <row r="48" spans="1:13" ht="18.75" customHeight="1" x14ac:dyDescent="0.25">
      <c r="A48" s="26"/>
      <c r="B48" s="11" t="s">
        <v>3</v>
      </c>
      <c r="C48" s="28"/>
      <c r="D48" s="28"/>
      <c r="E48" s="28"/>
      <c r="F48" s="28"/>
      <c r="G48" s="71"/>
      <c r="H48" s="69"/>
      <c r="I48" s="28"/>
      <c r="J48" s="28"/>
      <c r="K48" s="28"/>
      <c r="L48" s="16"/>
      <c r="M48" s="16"/>
    </row>
    <row r="49" spans="1:13" ht="15" x14ac:dyDescent="0.25">
      <c r="A49" s="26"/>
      <c r="B49" s="10" t="s">
        <v>13</v>
      </c>
      <c r="C49" s="27"/>
      <c r="D49" s="27" t="s">
        <v>163</v>
      </c>
      <c r="E49" s="27"/>
      <c r="F49" s="27"/>
      <c r="G49" s="69" t="s">
        <v>163</v>
      </c>
      <c r="H49" s="69" t="str">
        <f t="shared" si="0"/>
        <v xml:space="preserve"> -</v>
      </c>
      <c r="I49" s="27"/>
      <c r="J49" s="27"/>
      <c r="K49" s="27"/>
      <c r="L49" s="16"/>
      <c r="M49" s="16"/>
    </row>
    <row r="50" spans="1:13" ht="15" x14ac:dyDescent="0.25">
      <c r="A50" s="33"/>
      <c r="B50" s="7" t="s">
        <v>14</v>
      </c>
      <c r="C50" s="29"/>
      <c r="D50" s="29" t="s">
        <v>163</v>
      </c>
      <c r="E50" s="29"/>
      <c r="F50" s="29"/>
      <c r="G50" s="70" t="s">
        <v>163</v>
      </c>
      <c r="H50" s="69" t="str">
        <f t="shared" si="0"/>
        <v xml:space="preserve"> -</v>
      </c>
      <c r="I50" s="29"/>
      <c r="J50" s="29"/>
      <c r="K50" s="29"/>
      <c r="L50" s="16"/>
      <c r="M50" s="16"/>
    </row>
    <row r="51" spans="1:13" ht="60" x14ac:dyDescent="0.25">
      <c r="A51" s="30">
        <v>9</v>
      </c>
      <c r="B51" s="7" t="s">
        <v>15</v>
      </c>
      <c r="C51" s="29"/>
      <c r="D51" s="29">
        <v>0</v>
      </c>
      <c r="E51" s="29"/>
      <c r="F51" s="29"/>
      <c r="G51" s="70">
        <v>0</v>
      </c>
      <c r="H51" s="69">
        <f t="shared" si="0"/>
        <v>0</v>
      </c>
      <c r="I51" s="29"/>
      <c r="J51" s="29"/>
      <c r="K51" s="29"/>
      <c r="L51" s="16"/>
      <c r="M51" s="16"/>
    </row>
    <row r="52" spans="1:13" ht="30" x14ac:dyDescent="0.25">
      <c r="A52" s="30">
        <v>10</v>
      </c>
      <c r="B52" s="7" t="s">
        <v>16</v>
      </c>
      <c r="C52" s="29"/>
      <c r="D52" s="29">
        <v>0</v>
      </c>
      <c r="E52" s="29"/>
      <c r="F52" s="29"/>
      <c r="G52" s="70">
        <f>61832/1000</f>
        <v>61.832000000000001</v>
      </c>
      <c r="H52" s="69">
        <f t="shared" si="0"/>
        <v>61.832000000000001</v>
      </c>
      <c r="I52" s="29"/>
      <c r="J52" s="29"/>
      <c r="K52" s="29"/>
      <c r="L52" s="16"/>
      <c r="M52" s="16"/>
    </row>
    <row r="53" spans="1:13" ht="60" x14ac:dyDescent="0.25">
      <c r="A53" s="87">
        <v>11</v>
      </c>
      <c r="B53" s="7" t="s">
        <v>82</v>
      </c>
      <c r="C53" s="29"/>
      <c r="D53" s="29">
        <f>D54+D55+D56</f>
        <v>308.04115999999999</v>
      </c>
      <c r="E53" s="29"/>
      <c r="F53" s="29"/>
      <c r="G53" s="70">
        <f>G54+G55+G56</f>
        <v>663.66551000000004</v>
      </c>
      <c r="H53" s="69">
        <f t="shared" si="0"/>
        <v>663.66551000000004</v>
      </c>
      <c r="I53" s="29"/>
      <c r="J53" s="29"/>
      <c r="K53" s="29"/>
      <c r="L53" s="16"/>
      <c r="M53" s="16"/>
    </row>
    <row r="54" spans="1:13" ht="15" x14ac:dyDescent="0.25">
      <c r="A54" s="93"/>
      <c r="B54" s="7" t="s">
        <v>79</v>
      </c>
      <c r="C54" s="29"/>
      <c r="D54" s="29">
        <v>0</v>
      </c>
      <c r="E54" s="29"/>
      <c r="F54" s="29"/>
      <c r="G54" s="70">
        <v>0</v>
      </c>
      <c r="H54" s="69">
        <f t="shared" si="0"/>
        <v>0</v>
      </c>
      <c r="I54" s="29"/>
      <c r="J54" s="29"/>
      <c r="K54" s="29"/>
      <c r="L54" s="16"/>
      <c r="M54" s="16"/>
    </row>
    <row r="55" spans="1:13" ht="15" x14ac:dyDescent="0.25">
      <c r="A55" s="93"/>
      <c r="B55" s="7" t="s">
        <v>80</v>
      </c>
      <c r="C55" s="29"/>
      <c r="D55" s="29">
        <f>308041.16/1000</f>
        <v>308.04115999999999</v>
      </c>
      <c r="E55" s="29"/>
      <c r="F55" s="29"/>
      <c r="G55" s="70">
        <f>663665.51/1000</f>
        <v>663.66551000000004</v>
      </c>
      <c r="H55" s="69">
        <f t="shared" si="0"/>
        <v>663.66551000000004</v>
      </c>
      <c r="I55" s="29"/>
      <c r="J55" s="29"/>
      <c r="K55" s="29"/>
      <c r="L55" s="16"/>
      <c r="M55" s="16"/>
    </row>
    <row r="56" spans="1:13" ht="15" x14ac:dyDescent="0.25">
      <c r="A56" s="93"/>
      <c r="B56" s="7" t="s">
        <v>81</v>
      </c>
      <c r="C56" s="29"/>
      <c r="D56" s="29">
        <v>0</v>
      </c>
      <c r="E56" s="29"/>
      <c r="F56" s="29"/>
      <c r="G56" s="70">
        <v>0</v>
      </c>
      <c r="H56" s="69">
        <f t="shared" si="0"/>
        <v>0</v>
      </c>
      <c r="I56" s="29"/>
      <c r="J56" s="29"/>
      <c r="K56" s="29"/>
      <c r="L56" s="16"/>
      <c r="M56" s="16"/>
    </row>
    <row r="57" spans="1:13" ht="15" x14ac:dyDescent="0.25">
      <c r="A57" s="93"/>
      <c r="B57" s="7" t="s">
        <v>85</v>
      </c>
      <c r="C57" s="29"/>
      <c r="D57" s="29"/>
      <c r="E57" s="29"/>
      <c r="F57" s="29"/>
      <c r="G57" s="70"/>
      <c r="H57" s="69">
        <f t="shared" si="0"/>
        <v>0</v>
      </c>
      <c r="I57" s="29"/>
      <c r="J57" s="29"/>
      <c r="K57" s="29"/>
      <c r="L57" s="16"/>
      <c r="M57" s="16"/>
    </row>
    <row r="58" spans="1:13" ht="60" x14ac:dyDescent="0.25">
      <c r="A58" s="30">
        <v>12</v>
      </c>
      <c r="B58" s="7" t="s">
        <v>17</v>
      </c>
      <c r="C58" s="29"/>
      <c r="D58" s="29">
        <f>10806833.15/1000</f>
        <v>10806.83315</v>
      </c>
      <c r="E58" s="29"/>
      <c r="F58" s="29"/>
      <c r="G58" s="70">
        <f>9641998.81/1000</f>
        <v>9641.998810000001</v>
      </c>
      <c r="H58" s="69">
        <f t="shared" si="0"/>
        <v>9641.998810000001</v>
      </c>
      <c r="I58" s="29"/>
      <c r="J58" s="29"/>
      <c r="K58" s="29"/>
      <c r="L58" s="16"/>
      <c r="M58" s="16"/>
    </row>
    <row r="59" spans="1:13" ht="30" x14ac:dyDescent="0.25">
      <c r="A59" s="30">
        <v>13</v>
      </c>
      <c r="B59" s="7" t="s">
        <v>18</v>
      </c>
      <c r="C59" s="29"/>
      <c r="D59" s="29">
        <f>33074570.87/1000</f>
        <v>33074.570870000003</v>
      </c>
      <c r="E59" s="29"/>
      <c r="F59" s="29"/>
      <c r="G59" s="70">
        <f>36761745/1000</f>
        <v>36761.745000000003</v>
      </c>
      <c r="H59" s="69">
        <f t="shared" si="0"/>
        <v>36761.745000000003</v>
      </c>
      <c r="I59" s="29"/>
      <c r="J59" s="29"/>
      <c r="K59" s="29"/>
      <c r="L59" s="16"/>
      <c r="M59" s="16"/>
    </row>
    <row r="60" spans="1:13" ht="45" x14ac:dyDescent="0.25">
      <c r="A60" s="30">
        <v>14</v>
      </c>
      <c r="B60" s="7" t="s">
        <v>19</v>
      </c>
      <c r="C60" s="29"/>
      <c r="D60" s="29"/>
      <c r="E60" s="29"/>
      <c r="F60" s="29"/>
      <c r="G60" s="70">
        <f>264960/1000</f>
        <v>264.95999999999998</v>
      </c>
      <c r="H60" s="69">
        <f t="shared" si="0"/>
        <v>264.95999999999998</v>
      </c>
      <c r="I60" s="29"/>
      <c r="J60" s="29"/>
      <c r="K60" s="29"/>
      <c r="L60" s="16"/>
      <c r="M60" s="16"/>
    </row>
    <row r="61" spans="1:13" ht="30" x14ac:dyDescent="0.25">
      <c r="A61" s="87">
        <v>15</v>
      </c>
      <c r="B61" s="7" t="s">
        <v>20</v>
      </c>
      <c r="C61" s="29"/>
      <c r="D61" s="29">
        <f>D63+D64+D65</f>
        <v>8218.7603899999995</v>
      </c>
      <c r="E61" s="29"/>
      <c r="F61" s="29"/>
      <c r="G61" s="70">
        <f>G63+G64+G65</f>
        <v>10973.875249999999</v>
      </c>
      <c r="H61" s="69">
        <f t="shared" si="0"/>
        <v>10973.875249999999</v>
      </c>
      <c r="I61" s="29"/>
      <c r="J61" s="29"/>
      <c r="K61" s="29"/>
      <c r="L61" s="16"/>
      <c r="M61" s="16"/>
    </row>
    <row r="62" spans="1:13" ht="12.75" customHeight="1" x14ac:dyDescent="0.25">
      <c r="A62" s="88"/>
      <c r="B62" s="11" t="s">
        <v>3</v>
      </c>
      <c r="C62" s="28"/>
      <c r="D62" s="28"/>
      <c r="E62" s="28"/>
      <c r="F62" s="28"/>
      <c r="G62" s="71"/>
      <c r="H62" s="69">
        <f t="shared" si="0"/>
        <v>0</v>
      </c>
      <c r="I62" s="28"/>
      <c r="J62" s="28"/>
      <c r="K62" s="28"/>
      <c r="L62" s="16"/>
      <c r="M62" s="16"/>
    </row>
    <row r="63" spans="1:13" ht="15" x14ac:dyDescent="0.25">
      <c r="A63" s="88"/>
      <c r="B63" s="10" t="s">
        <v>7</v>
      </c>
      <c r="C63" s="27"/>
      <c r="D63" s="27">
        <f>7056.99</f>
        <v>7056.99</v>
      </c>
      <c r="E63" s="27"/>
      <c r="F63" s="27"/>
      <c r="G63" s="69">
        <f>9755978.85/1000</f>
        <v>9755.9788499999995</v>
      </c>
      <c r="H63" s="69">
        <f t="shared" si="0"/>
        <v>9755.9788499999995</v>
      </c>
      <c r="I63" s="27"/>
      <c r="J63" s="27"/>
      <c r="K63" s="27"/>
      <c r="L63" s="16"/>
      <c r="M63" s="16"/>
    </row>
    <row r="64" spans="1:13" ht="15" x14ac:dyDescent="0.25">
      <c r="A64" s="88"/>
      <c r="B64" s="7" t="s">
        <v>37</v>
      </c>
      <c r="C64" s="29"/>
      <c r="D64" s="29">
        <f>618724.37/1000</f>
        <v>618.72437000000002</v>
      </c>
      <c r="E64" s="29"/>
      <c r="F64" s="29"/>
      <c r="G64" s="70">
        <f>613969.57/1000</f>
        <v>613.96956999999998</v>
      </c>
      <c r="H64" s="69">
        <f t="shared" si="0"/>
        <v>613.96956999999998</v>
      </c>
      <c r="I64" s="29"/>
      <c r="J64" s="29"/>
      <c r="K64" s="29"/>
      <c r="L64" s="16"/>
      <c r="M64" s="16"/>
    </row>
    <row r="65" spans="1:13" ht="15" x14ac:dyDescent="0.25">
      <c r="A65" s="88"/>
      <c r="B65" s="7" t="s">
        <v>83</v>
      </c>
      <c r="C65" s="29"/>
      <c r="D65" s="29">
        <f>D66+D67+D68</f>
        <v>543.04602</v>
      </c>
      <c r="E65" s="29"/>
      <c r="F65" s="29"/>
      <c r="G65" s="70">
        <f>G66+G67+G68</f>
        <v>603.92683000000011</v>
      </c>
      <c r="H65" s="69">
        <f t="shared" si="0"/>
        <v>603.92683000000011</v>
      </c>
      <c r="I65" s="29"/>
      <c r="J65" s="29"/>
      <c r="K65" s="29"/>
      <c r="L65" s="16"/>
      <c r="M65" s="16"/>
    </row>
    <row r="66" spans="1:13" ht="15" x14ac:dyDescent="0.25">
      <c r="A66" s="88"/>
      <c r="B66" s="7" t="s">
        <v>76</v>
      </c>
      <c r="C66" s="29"/>
      <c r="D66" s="29">
        <f>495922.44/1000</f>
        <v>495.92243999999999</v>
      </c>
      <c r="E66" s="29"/>
      <c r="F66" s="29"/>
      <c r="G66" s="70">
        <f>551172.56/1000</f>
        <v>551.17256000000009</v>
      </c>
      <c r="H66" s="69">
        <f t="shared" si="0"/>
        <v>551.17256000000009</v>
      </c>
      <c r="I66" s="29"/>
      <c r="J66" s="29"/>
      <c r="K66" s="29"/>
      <c r="L66" s="16"/>
      <c r="M66" s="16"/>
    </row>
    <row r="67" spans="1:13" ht="15" x14ac:dyDescent="0.25">
      <c r="A67" s="88"/>
      <c r="B67" s="7" t="s">
        <v>75</v>
      </c>
      <c r="C67" s="29"/>
      <c r="D67" s="29">
        <f>37229.78/1000</f>
        <v>37.229779999999998</v>
      </c>
      <c r="E67" s="29"/>
      <c r="F67" s="29"/>
      <c r="G67" s="70">
        <f>41678.14/1000</f>
        <v>41.678139999999999</v>
      </c>
      <c r="H67" s="69">
        <f t="shared" si="0"/>
        <v>41.678139999999999</v>
      </c>
      <c r="I67" s="29"/>
      <c r="J67" s="29"/>
      <c r="K67" s="29"/>
      <c r="L67" s="16"/>
      <c r="M67" s="16"/>
    </row>
    <row r="68" spans="1:13" ht="15" x14ac:dyDescent="0.25">
      <c r="A68" s="88"/>
      <c r="B68" s="7" t="s">
        <v>77</v>
      </c>
      <c r="C68" s="29"/>
      <c r="D68" s="29">
        <f>9893.8/1000</f>
        <v>9.8937999999999988</v>
      </c>
      <c r="E68" s="29"/>
      <c r="F68" s="29"/>
      <c r="G68" s="70">
        <f>11076.13/1000</f>
        <v>11.076129999999999</v>
      </c>
      <c r="H68" s="69">
        <f t="shared" si="0"/>
        <v>11.076129999999999</v>
      </c>
      <c r="I68" s="29"/>
      <c r="J68" s="29"/>
      <c r="K68" s="29"/>
      <c r="L68" s="16"/>
      <c r="M68" s="16"/>
    </row>
    <row r="69" spans="1:13" ht="15" x14ac:dyDescent="0.25">
      <c r="A69" s="89"/>
      <c r="B69" s="7" t="s">
        <v>85</v>
      </c>
      <c r="C69" s="29"/>
      <c r="D69" s="29"/>
      <c r="E69" s="29"/>
      <c r="F69" s="29"/>
      <c r="G69" s="70"/>
      <c r="H69" s="69">
        <f t="shared" si="0"/>
        <v>0</v>
      </c>
      <c r="I69" s="29"/>
      <c r="J69" s="29"/>
      <c r="K69" s="29"/>
      <c r="L69" s="16"/>
      <c r="M69" s="16"/>
    </row>
    <row r="70" spans="1:13" ht="30" x14ac:dyDescent="0.25">
      <c r="A70" s="34" t="s">
        <v>38</v>
      </c>
      <c r="B70" s="7" t="s">
        <v>39</v>
      </c>
      <c r="C70" s="29"/>
      <c r="D70" s="29">
        <f>D72+D73+D74</f>
        <v>6158.6529800000008</v>
      </c>
      <c r="E70" s="29"/>
      <c r="F70" s="29"/>
      <c r="G70" s="70">
        <f>G72+G73+G74</f>
        <v>7259.25468</v>
      </c>
      <c r="H70" s="69">
        <f t="shared" si="0"/>
        <v>7259.25468</v>
      </c>
      <c r="I70" s="29"/>
      <c r="J70" s="29"/>
      <c r="K70" s="29"/>
      <c r="L70" s="16"/>
      <c r="M70" s="16"/>
    </row>
    <row r="71" spans="1:13" ht="12.75" customHeight="1" x14ac:dyDescent="0.25">
      <c r="A71" s="26"/>
      <c r="B71" s="11" t="s">
        <v>3</v>
      </c>
      <c r="C71" s="28"/>
      <c r="D71" s="28"/>
      <c r="E71" s="28"/>
      <c r="F71" s="28"/>
      <c r="G71" s="71"/>
      <c r="H71" s="69">
        <f t="shared" si="0"/>
        <v>0</v>
      </c>
      <c r="I71" s="28"/>
      <c r="J71" s="28"/>
      <c r="K71" s="28"/>
      <c r="L71" s="16"/>
      <c r="M71" s="16"/>
    </row>
    <row r="72" spans="1:13" ht="15" x14ac:dyDescent="0.25">
      <c r="A72" s="26"/>
      <c r="B72" s="10" t="s">
        <v>21</v>
      </c>
      <c r="C72" s="27"/>
      <c r="D72" s="27">
        <f>699964.68/1000</f>
        <v>699.96468000000004</v>
      </c>
      <c r="E72" s="27"/>
      <c r="F72" s="27"/>
      <c r="G72" s="69">
        <f>(708080.64+43243.2)/1000</f>
        <v>751.32384000000002</v>
      </c>
      <c r="H72" s="69">
        <f t="shared" si="0"/>
        <v>751.32384000000002</v>
      </c>
      <c r="I72" s="27"/>
      <c r="J72" s="27"/>
      <c r="K72" s="27"/>
      <c r="L72" s="16"/>
      <c r="M72" s="16"/>
    </row>
    <row r="73" spans="1:13" ht="15" x14ac:dyDescent="0.25">
      <c r="A73" s="26"/>
      <c r="B73" s="7" t="s">
        <v>22</v>
      </c>
      <c r="C73" s="29"/>
      <c r="D73" s="29">
        <f>4917301.79/1000</f>
        <v>4917.3017900000004</v>
      </c>
      <c r="E73" s="29"/>
      <c r="F73" s="29"/>
      <c r="G73" s="70">
        <f>5480430.12/1000</f>
        <v>5480.43012</v>
      </c>
      <c r="H73" s="69">
        <f t="shared" ref="H73:H99" si="1">G73</f>
        <v>5480.43012</v>
      </c>
      <c r="I73" s="29"/>
      <c r="J73" s="29"/>
      <c r="K73" s="29"/>
      <c r="L73" s="16"/>
      <c r="M73" s="16"/>
    </row>
    <row r="74" spans="1:13" ht="15" x14ac:dyDescent="0.25">
      <c r="A74" s="33"/>
      <c r="B74" s="7" t="s">
        <v>23</v>
      </c>
      <c r="C74" s="29"/>
      <c r="D74" s="29">
        <f>541386.51/1000</f>
        <v>541.38651000000004</v>
      </c>
      <c r="E74" s="29"/>
      <c r="F74" s="29"/>
      <c r="G74" s="70">
        <f>1027500.72/1000</f>
        <v>1027.50072</v>
      </c>
      <c r="H74" s="69">
        <f t="shared" si="1"/>
        <v>1027.50072</v>
      </c>
      <c r="I74" s="29"/>
      <c r="J74" s="29"/>
      <c r="K74" s="29"/>
      <c r="L74" s="16"/>
      <c r="M74" s="16"/>
    </row>
    <row r="75" spans="1:13" ht="30" x14ac:dyDescent="0.25">
      <c r="A75" s="35" t="s">
        <v>40</v>
      </c>
      <c r="B75" s="7" t="s">
        <v>41</v>
      </c>
      <c r="C75" s="29"/>
      <c r="D75" s="29">
        <f>17320731.27/1000</f>
        <v>17320.73127</v>
      </c>
      <c r="E75" s="29"/>
      <c r="F75" s="29"/>
      <c r="G75" s="70">
        <f>20590775.37/1000</f>
        <v>20590.775369999999</v>
      </c>
      <c r="H75" s="69">
        <f t="shared" si="1"/>
        <v>20590.775369999999</v>
      </c>
      <c r="I75" s="29"/>
      <c r="J75" s="29"/>
      <c r="K75" s="29"/>
      <c r="L75" s="16"/>
      <c r="M75" s="16"/>
    </row>
    <row r="76" spans="1:13" ht="75" x14ac:dyDescent="0.25">
      <c r="A76" s="30">
        <v>17</v>
      </c>
      <c r="B76" s="7" t="s">
        <v>24</v>
      </c>
      <c r="C76" s="29"/>
      <c r="D76" s="29">
        <f>343229.36/1000</f>
        <v>343.22935999999999</v>
      </c>
      <c r="E76" s="29"/>
      <c r="F76" s="29"/>
      <c r="G76" s="70">
        <f>493194.81/1000</f>
        <v>493.19481000000002</v>
      </c>
      <c r="H76" s="69">
        <f t="shared" si="1"/>
        <v>493.19481000000002</v>
      </c>
      <c r="I76" s="29"/>
      <c r="J76" s="29"/>
      <c r="K76" s="29"/>
      <c r="L76" s="16"/>
      <c r="M76" s="16"/>
    </row>
    <row r="77" spans="1:13" ht="45" customHeight="1" x14ac:dyDescent="0.25">
      <c r="A77" s="31">
        <v>18</v>
      </c>
      <c r="B77" s="7" t="s">
        <v>25</v>
      </c>
      <c r="C77" s="29"/>
      <c r="D77" s="29">
        <f>D79</f>
        <v>3759.2885799999999</v>
      </c>
      <c r="E77" s="29"/>
      <c r="F77" s="29"/>
      <c r="G77" s="70">
        <f>G79</f>
        <v>4289.0932599999996</v>
      </c>
      <c r="H77" s="69">
        <f t="shared" si="1"/>
        <v>4289.0932599999996</v>
      </c>
      <c r="I77" s="29"/>
      <c r="J77" s="29"/>
      <c r="K77" s="29"/>
      <c r="L77" s="16"/>
      <c r="M77" s="16"/>
    </row>
    <row r="78" spans="1:13" ht="12.75" customHeight="1" x14ac:dyDescent="0.25">
      <c r="A78" s="26"/>
      <c r="B78" s="11" t="s">
        <v>3</v>
      </c>
      <c r="C78" s="28"/>
      <c r="D78" s="28"/>
      <c r="E78" s="28"/>
      <c r="F78" s="28"/>
      <c r="G78" s="71"/>
      <c r="H78" s="69"/>
      <c r="I78" s="28"/>
      <c r="J78" s="28"/>
      <c r="K78" s="28"/>
      <c r="L78" s="16"/>
      <c r="M78" s="16"/>
    </row>
    <row r="79" spans="1:13" ht="28.5" customHeight="1" x14ac:dyDescent="0.25">
      <c r="A79" s="26"/>
      <c r="B79" s="10" t="s">
        <v>26</v>
      </c>
      <c r="C79" s="27"/>
      <c r="D79" s="27">
        <f>3759288.58/1000</f>
        <v>3759.2885799999999</v>
      </c>
      <c r="E79" s="27"/>
      <c r="F79" s="27"/>
      <c r="G79" s="69">
        <f>4289093.26/1000</f>
        <v>4289.0932599999996</v>
      </c>
      <c r="H79" s="69">
        <f t="shared" si="1"/>
        <v>4289.0932599999996</v>
      </c>
      <c r="I79" s="27"/>
      <c r="J79" s="27"/>
      <c r="K79" s="27"/>
      <c r="L79" s="16"/>
      <c r="M79" s="16"/>
    </row>
    <row r="80" spans="1:13" ht="30" x14ac:dyDescent="0.25">
      <c r="A80" s="33"/>
      <c r="B80" s="7" t="s">
        <v>27</v>
      </c>
      <c r="C80" s="29"/>
      <c r="D80" s="29">
        <v>0</v>
      </c>
      <c r="E80" s="29"/>
      <c r="F80" s="29"/>
      <c r="G80" s="70">
        <v>0</v>
      </c>
      <c r="H80" s="69">
        <f t="shared" si="1"/>
        <v>0</v>
      </c>
      <c r="I80" s="29"/>
      <c r="J80" s="29"/>
      <c r="K80" s="29"/>
      <c r="L80" s="16"/>
      <c r="M80" s="16"/>
    </row>
    <row r="81" spans="1:13" ht="90" x14ac:dyDescent="0.25">
      <c r="A81" s="30">
        <v>19</v>
      </c>
      <c r="B81" s="7" t="s">
        <v>28</v>
      </c>
      <c r="C81" s="29"/>
      <c r="D81" s="29">
        <f>(2639266.31+4499996)/1000</f>
        <v>7139.2623100000001</v>
      </c>
      <c r="E81" s="29"/>
      <c r="F81" s="29"/>
      <c r="G81" s="70">
        <f>3439642.39/1000</f>
        <v>3439.64239</v>
      </c>
      <c r="H81" s="69">
        <f t="shared" si="1"/>
        <v>3439.64239</v>
      </c>
      <c r="I81" s="29"/>
      <c r="J81" s="29"/>
      <c r="K81" s="29"/>
      <c r="L81" s="16"/>
      <c r="M81" s="16"/>
    </row>
    <row r="82" spans="1:13" ht="60" x14ac:dyDescent="0.25">
      <c r="A82" s="30">
        <v>20</v>
      </c>
      <c r="B82" s="7" t="s">
        <v>29</v>
      </c>
      <c r="C82" s="29"/>
      <c r="D82" s="29">
        <f>D83</f>
        <v>1927.1366399999999</v>
      </c>
      <c r="E82" s="29"/>
      <c r="F82" s="29"/>
      <c r="G82" s="70">
        <f>2751536.32/1000</f>
        <v>2751.5363199999997</v>
      </c>
      <c r="H82" s="69">
        <f t="shared" si="1"/>
        <v>2751.5363199999997</v>
      </c>
      <c r="I82" s="29"/>
      <c r="J82" s="29"/>
      <c r="K82" s="29"/>
      <c r="L82" s="16"/>
      <c r="M82" s="16"/>
    </row>
    <row r="83" spans="1:13" ht="30" x14ac:dyDescent="0.25">
      <c r="A83" s="30" t="s">
        <v>86</v>
      </c>
      <c r="B83" s="7" t="s">
        <v>87</v>
      </c>
      <c r="C83" s="29"/>
      <c r="D83" s="29">
        <f>1927136.64/1000</f>
        <v>1927.1366399999999</v>
      </c>
      <c r="E83" s="29"/>
      <c r="F83" s="29"/>
      <c r="G83" s="70">
        <f>G82</f>
        <v>2751.5363199999997</v>
      </c>
      <c r="H83" s="69">
        <f t="shared" si="1"/>
        <v>2751.5363199999997</v>
      </c>
      <c r="I83" s="29"/>
      <c r="J83" s="29"/>
      <c r="K83" s="29"/>
      <c r="L83" s="16"/>
      <c r="M83" s="16"/>
    </row>
    <row r="84" spans="1:13" ht="30" x14ac:dyDescent="0.25">
      <c r="A84" s="30">
        <v>21</v>
      </c>
      <c r="B84" s="7" t="s">
        <v>30</v>
      </c>
      <c r="C84" s="29"/>
      <c r="D84" s="29">
        <v>0</v>
      </c>
      <c r="E84" s="29"/>
      <c r="F84" s="29"/>
      <c r="G84" s="70">
        <v>0</v>
      </c>
      <c r="H84" s="69">
        <f t="shared" si="1"/>
        <v>0</v>
      </c>
      <c r="I84" s="29"/>
      <c r="J84" s="29"/>
      <c r="K84" s="29"/>
      <c r="L84" s="16"/>
      <c r="M84" s="16"/>
    </row>
    <row r="85" spans="1:13" ht="60" x14ac:dyDescent="0.25">
      <c r="A85" s="30">
        <v>22</v>
      </c>
      <c r="B85" s="7" t="s">
        <v>31</v>
      </c>
      <c r="C85" s="29"/>
      <c r="D85" s="29">
        <f>550878.45/1000</f>
        <v>550.87844999999993</v>
      </c>
      <c r="E85" s="29"/>
      <c r="F85" s="29"/>
      <c r="G85" s="70">
        <f>660660.29/1000</f>
        <v>660.66029000000003</v>
      </c>
      <c r="H85" s="69">
        <f t="shared" si="1"/>
        <v>660.66029000000003</v>
      </c>
      <c r="I85" s="29"/>
      <c r="J85" s="29"/>
      <c r="K85" s="29"/>
      <c r="L85" s="16"/>
      <c r="M85" s="16"/>
    </row>
    <row r="86" spans="1:13" ht="60" x14ac:dyDescent="0.25">
      <c r="A86" s="30">
        <v>23</v>
      </c>
      <c r="B86" s="7" t="s">
        <v>32</v>
      </c>
      <c r="C86" s="29"/>
      <c r="D86" s="29">
        <v>0</v>
      </c>
      <c r="E86" s="29"/>
      <c r="F86" s="29"/>
      <c r="G86" s="70">
        <v>0</v>
      </c>
      <c r="H86" s="69">
        <f t="shared" si="1"/>
        <v>0</v>
      </c>
      <c r="I86" s="29"/>
      <c r="J86" s="29"/>
      <c r="K86" s="29"/>
      <c r="L86" s="16"/>
      <c r="M86" s="16"/>
    </row>
    <row r="87" spans="1:13" ht="30" x14ac:dyDescent="0.25">
      <c r="A87" s="30">
        <v>24</v>
      </c>
      <c r="B87" s="7" t="s">
        <v>33</v>
      </c>
      <c r="C87" s="29"/>
      <c r="D87" s="29">
        <f>12244.08/1000</f>
        <v>12.24408</v>
      </c>
      <c r="E87" s="29"/>
      <c r="F87" s="29"/>
      <c r="G87" s="70">
        <f>21547.04/1000</f>
        <v>21.547040000000003</v>
      </c>
      <c r="H87" s="69">
        <f t="shared" si="1"/>
        <v>21.547040000000003</v>
      </c>
      <c r="I87" s="29"/>
      <c r="J87" s="29"/>
      <c r="K87" s="29"/>
      <c r="L87" s="16"/>
      <c r="M87" s="16"/>
    </row>
    <row r="88" spans="1:13" ht="45" x14ac:dyDescent="0.25">
      <c r="A88" s="30">
        <v>25</v>
      </c>
      <c r="B88" s="7" t="s">
        <v>34</v>
      </c>
      <c r="C88" s="29"/>
      <c r="D88" s="29">
        <v>0</v>
      </c>
      <c r="E88" s="29"/>
      <c r="F88" s="29"/>
      <c r="G88" s="70">
        <v>0</v>
      </c>
      <c r="H88" s="69">
        <f t="shared" si="1"/>
        <v>0</v>
      </c>
      <c r="I88" s="29"/>
      <c r="J88" s="29"/>
      <c r="K88" s="29"/>
      <c r="L88" s="16"/>
      <c r="M88" s="16"/>
    </row>
    <row r="89" spans="1:13" ht="55.5" customHeight="1" x14ac:dyDescent="0.25">
      <c r="A89" s="30">
        <v>26</v>
      </c>
      <c r="B89" s="7" t="s">
        <v>35</v>
      </c>
      <c r="C89" s="29"/>
      <c r="D89" s="29">
        <f>166000/1000</f>
        <v>166</v>
      </c>
      <c r="E89" s="29"/>
      <c r="F89" s="29"/>
      <c r="G89" s="70">
        <f>90335.24/1000</f>
        <v>90.335239999999999</v>
      </c>
      <c r="H89" s="69">
        <f t="shared" si="1"/>
        <v>90.335239999999999</v>
      </c>
      <c r="I89" s="29"/>
      <c r="J89" s="29"/>
      <c r="K89" s="29"/>
      <c r="L89" s="16"/>
      <c r="M89" s="16"/>
    </row>
    <row r="90" spans="1:13" ht="105" x14ac:dyDescent="0.25">
      <c r="A90" s="30">
        <v>27</v>
      </c>
      <c r="B90" s="7" t="s">
        <v>84</v>
      </c>
      <c r="C90" s="29"/>
      <c r="D90" s="29">
        <f>201.25</f>
        <v>201.25</v>
      </c>
      <c r="E90" s="29"/>
      <c r="F90" s="29"/>
      <c r="G90" s="70">
        <f>353305.76/1000</f>
        <v>353.30576000000002</v>
      </c>
      <c r="H90" s="69">
        <f t="shared" si="1"/>
        <v>353.30576000000002</v>
      </c>
      <c r="I90" s="29"/>
      <c r="J90" s="29"/>
      <c r="K90" s="29"/>
      <c r="L90" s="16"/>
      <c r="M90" s="16"/>
    </row>
    <row r="91" spans="1:13" ht="75" x14ac:dyDescent="0.25">
      <c r="A91" s="30">
        <v>28</v>
      </c>
      <c r="B91" s="7" t="s">
        <v>36</v>
      </c>
      <c r="C91" s="29"/>
      <c r="D91" s="29">
        <f>86222.22/1000</f>
        <v>86.222220000000007</v>
      </c>
      <c r="E91" s="29"/>
      <c r="F91" s="29"/>
      <c r="G91" s="70">
        <f>122553.84/1000</f>
        <v>122.55383999999999</v>
      </c>
      <c r="H91" s="69">
        <f t="shared" si="1"/>
        <v>122.55383999999999</v>
      </c>
      <c r="I91" s="29"/>
      <c r="J91" s="29"/>
      <c r="K91" s="29"/>
      <c r="L91" s="16"/>
      <c r="M91" s="16"/>
    </row>
    <row r="92" spans="1:13" ht="105" x14ac:dyDescent="0.25">
      <c r="A92" s="31">
        <v>29</v>
      </c>
      <c r="B92" s="7" t="s">
        <v>69</v>
      </c>
      <c r="C92" s="29"/>
      <c r="D92" s="29">
        <f>D94+D95+D96+D97+D98</f>
        <v>12657.146290000001</v>
      </c>
      <c r="E92" s="29"/>
      <c r="F92" s="29"/>
      <c r="G92" s="70">
        <f>G94+G95+G96</f>
        <v>654.52505999999994</v>
      </c>
      <c r="H92" s="69">
        <f t="shared" si="1"/>
        <v>654.52505999999994</v>
      </c>
      <c r="I92" s="29"/>
      <c r="J92" s="29"/>
      <c r="K92" s="29"/>
      <c r="L92" s="16"/>
      <c r="M92" s="16"/>
    </row>
    <row r="93" spans="1:13" ht="30" x14ac:dyDescent="0.25">
      <c r="A93" s="26"/>
      <c r="B93" s="11" t="s">
        <v>70</v>
      </c>
      <c r="C93" s="28"/>
      <c r="D93" s="28"/>
      <c r="E93" s="28"/>
      <c r="F93" s="28"/>
      <c r="G93" s="71"/>
      <c r="H93" s="69">
        <f t="shared" si="1"/>
        <v>0</v>
      </c>
      <c r="I93" s="28"/>
      <c r="J93" s="28"/>
      <c r="K93" s="28"/>
      <c r="L93" s="16"/>
      <c r="M93" s="16"/>
    </row>
    <row r="94" spans="1:13" ht="30" x14ac:dyDescent="0.25">
      <c r="A94" s="26"/>
      <c r="B94" s="10" t="s">
        <v>73</v>
      </c>
      <c r="C94" s="27"/>
      <c r="D94" s="27">
        <f>323503.07/1000</f>
        <v>323.50306999999998</v>
      </c>
      <c r="E94" s="27"/>
      <c r="F94" s="27"/>
      <c r="G94" s="69">
        <f>176856/1000</f>
        <v>176.85599999999999</v>
      </c>
      <c r="H94" s="69">
        <f t="shared" si="1"/>
        <v>176.85599999999999</v>
      </c>
      <c r="I94" s="27"/>
      <c r="J94" s="27"/>
      <c r="K94" s="27"/>
      <c r="L94" s="16"/>
      <c r="M94" s="16"/>
    </row>
    <row r="95" spans="1:13" ht="30.75" customHeight="1" x14ac:dyDescent="0.25">
      <c r="A95" s="26"/>
      <c r="B95" s="7" t="s">
        <v>74</v>
      </c>
      <c r="C95" s="29"/>
      <c r="D95" s="29">
        <f>285000/1000</f>
        <v>285</v>
      </c>
      <c r="E95" s="29"/>
      <c r="F95" s="29"/>
      <c r="G95" s="70">
        <f>210468.9/1000</f>
        <v>210.46889999999999</v>
      </c>
      <c r="H95" s="69">
        <f t="shared" si="1"/>
        <v>210.46889999999999</v>
      </c>
      <c r="I95" s="29"/>
      <c r="J95" s="29"/>
      <c r="K95" s="29"/>
      <c r="L95" s="16"/>
      <c r="M95" s="16"/>
    </row>
    <row r="96" spans="1:13" ht="15" x14ac:dyDescent="0.25">
      <c r="A96" s="26"/>
      <c r="B96" s="7" t="s">
        <v>164</v>
      </c>
      <c r="C96" s="29"/>
      <c r="D96" s="29">
        <f>43757.46/1000</f>
        <v>43.757460000000002</v>
      </c>
      <c r="E96" s="29"/>
      <c r="F96" s="29"/>
      <c r="G96" s="70">
        <f>267200.16/1000</f>
        <v>267.20015999999998</v>
      </c>
      <c r="H96" s="69">
        <f t="shared" si="1"/>
        <v>267.20015999999998</v>
      </c>
      <c r="I96" s="29"/>
      <c r="J96" s="29"/>
      <c r="K96" s="29"/>
      <c r="L96" s="16"/>
      <c r="M96" s="16"/>
    </row>
    <row r="97" spans="1:13" ht="15" x14ac:dyDescent="0.25">
      <c r="A97" s="26"/>
      <c r="B97" s="7" t="s">
        <v>165</v>
      </c>
      <c r="C97" s="29"/>
      <c r="D97" s="29">
        <f>257985.76/1000</f>
        <v>257.98576000000003</v>
      </c>
      <c r="E97" s="29"/>
      <c r="F97" s="29"/>
      <c r="G97" s="70"/>
      <c r="H97" s="69">
        <f t="shared" si="1"/>
        <v>0</v>
      </c>
      <c r="I97" s="29"/>
      <c r="J97" s="29"/>
      <c r="K97" s="29"/>
      <c r="L97" s="16"/>
      <c r="M97" s="16"/>
    </row>
    <row r="98" spans="1:13" ht="15" x14ac:dyDescent="0.25">
      <c r="A98" s="33"/>
      <c r="B98" s="7" t="s">
        <v>166</v>
      </c>
      <c r="C98" s="29"/>
      <c r="D98" s="29">
        <f>11746.9</f>
        <v>11746.9</v>
      </c>
      <c r="E98" s="29"/>
      <c r="F98" s="29"/>
      <c r="G98" s="70"/>
      <c r="H98" s="69">
        <f t="shared" si="1"/>
        <v>0</v>
      </c>
      <c r="I98" s="29"/>
      <c r="J98" s="29"/>
      <c r="K98" s="29"/>
      <c r="L98" s="16"/>
      <c r="M98" s="16"/>
    </row>
    <row r="99" spans="1:13" ht="15" x14ac:dyDescent="0.25">
      <c r="A99" s="30"/>
      <c r="B99" s="8" t="s">
        <v>53</v>
      </c>
      <c r="C99" s="29"/>
      <c r="D99" s="72">
        <f>D92+D91+D90+D89+D88+D87+D86+D85+D84+D82+D81+D77+D76+D70+D75+D61+D60+D59+D58+D53+D52+D51+D47+D46+D45+D41+D31+D21+D9+D20</f>
        <v>181066.50383</v>
      </c>
      <c r="E99" s="72">
        <f>E92+E91+E90+E89+E88+E87+E86+E85+E84+E82+E81+E77+E76+E70+E75+E61+E60+E59+E58+E53+E52+E51+E47+E46+E45+E41+E31+E21+E9+E20</f>
        <v>0</v>
      </c>
      <c r="F99" s="66">
        <f>F92+F91+F90+F89+F88+F87+F86+F85+F84+F82+F81+F77+F76+F70+F75+F61+F60+F59+F58+F53+F52+F51+F47+F46+F45+F41+F31+F21+F9+F20</f>
        <v>0</v>
      </c>
      <c r="G99" s="72">
        <f>G92+G91+G90+G89+G88+G87+G86+G85+G84+G82+G81+G77+G76+G70+G75+G61+G60+G59+G58+G53+G52+G51+G47+G46+G45+G41+G31+G21+G9+G20</f>
        <v>214373.29113500001</v>
      </c>
      <c r="H99" s="73">
        <f t="shared" si="1"/>
        <v>214373.29113500001</v>
      </c>
      <c r="I99" s="29"/>
      <c r="J99" s="29"/>
      <c r="K99" s="29"/>
      <c r="L99" s="16"/>
      <c r="M99" s="16"/>
    </row>
    <row r="100" spans="1:13" ht="18.75" x14ac:dyDescent="0.2">
      <c r="A100" s="22" t="s">
        <v>52</v>
      </c>
      <c r="B100" s="23"/>
      <c r="C100" s="36"/>
      <c r="D100" s="36"/>
      <c r="E100" s="36"/>
      <c r="F100" s="36"/>
      <c r="G100" s="74"/>
      <c r="H100" s="74"/>
      <c r="I100" s="36"/>
      <c r="J100" s="36"/>
      <c r="K100" s="37"/>
      <c r="L100" s="17"/>
      <c r="M100" s="17"/>
    </row>
    <row r="101" spans="1:13" ht="59.25" x14ac:dyDescent="0.25">
      <c r="A101" s="31">
        <v>1</v>
      </c>
      <c r="B101" s="7" t="s">
        <v>119</v>
      </c>
      <c r="C101" s="29"/>
      <c r="D101" s="29">
        <v>0</v>
      </c>
      <c r="E101" s="29">
        <v>0</v>
      </c>
      <c r="F101" s="29"/>
      <c r="G101" s="70">
        <v>0</v>
      </c>
      <c r="H101" s="70">
        <f>G101</f>
        <v>0</v>
      </c>
      <c r="I101" s="29"/>
      <c r="J101" s="29">
        <v>0</v>
      </c>
      <c r="K101" s="29">
        <v>0</v>
      </c>
      <c r="L101" s="16"/>
      <c r="M101" s="16"/>
    </row>
    <row r="102" spans="1:13" ht="15" x14ac:dyDescent="0.25">
      <c r="A102" s="38"/>
      <c r="B102" s="11" t="s">
        <v>3</v>
      </c>
      <c r="C102" s="28"/>
      <c r="D102" s="28"/>
      <c r="E102" s="28"/>
      <c r="F102" s="28"/>
      <c r="G102" s="71"/>
      <c r="H102" s="70">
        <f t="shared" ref="H102:H122" si="2">G102</f>
        <v>0</v>
      </c>
      <c r="I102" s="28"/>
      <c r="J102" s="28"/>
      <c r="K102" s="28"/>
      <c r="L102" s="16"/>
      <c r="M102" s="16"/>
    </row>
    <row r="103" spans="1:13" ht="15" x14ac:dyDescent="0.25">
      <c r="A103" s="38"/>
      <c r="B103" s="10" t="s">
        <v>129</v>
      </c>
      <c r="C103" s="27"/>
      <c r="D103" s="27">
        <v>0</v>
      </c>
      <c r="E103" s="27">
        <v>0</v>
      </c>
      <c r="F103" s="27"/>
      <c r="G103" s="69">
        <v>0</v>
      </c>
      <c r="H103" s="70">
        <f t="shared" si="2"/>
        <v>0</v>
      </c>
      <c r="I103" s="27"/>
      <c r="J103" s="27"/>
      <c r="K103" s="27"/>
      <c r="L103" s="16"/>
      <c r="M103" s="16"/>
    </row>
    <row r="104" spans="1:13" ht="15" x14ac:dyDescent="0.25">
      <c r="A104" s="38"/>
      <c r="B104" s="39" t="s">
        <v>120</v>
      </c>
      <c r="C104" s="29"/>
      <c r="D104" s="27">
        <v>0</v>
      </c>
      <c r="E104" s="27">
        <v>0</v>
      </c>
      <c r="F104" s="29"/>
      <c r="G104" s="70">
        <v>0</v>
      </c>
      <c r="H104" s="70">
        <f t="shared" si="2"/>
        <v>0</v>
      </c>
      <c r="I104" s="29"/>
      <c r="J104" s="29"/>
      <c r="K104" s="29"/>
      <c r="L104" s="16"/>
      <c r="M104" s="16"/>
    </row>
    <row r="105" spans="1:13" ht="30" x14ac:dyDescent="0.25">
      <c r="A105" s="38"/>
      <c r="B105" s="39" t="s">
        <v>121</v>
      </c>
      <c r="C105" s="29"/>
      <c r="D105" s="27">
        <v>0</v>
      </c>
      <c r="E105" s="27">
        <v>0</v>
      </c>
      <c r="F105" s="29"/>
      <c r="G105" s="70">
        <v>0</v>
      </c>
      <c r="H105" s="70">
        <f t="shared" si="2"/>
        <v>0</v>
      </c>
      <c r="I105" s="29"/>
      <c r="J105" s="29"/>
      <c r="K105" s="29"/>
      <c r="L105" s="16"/>
      <c r="M105" s="16"/>
    </row>
    <row r="106" spans="1:13" ht="15" x14ac:dyDescent="0.25">
      <c r="A106" s="38"/>
      <c r="B106" s="39" t="s">
        <v>122</v>
      </c>
      <c r="C106" s="29"/>
      <c r="D106" s="27">
        <v>0</v>
      </c>
      <c r="E106" s="27">
        <v>0</v>
      </c>
      <c r="F106" s="29"/>
      <c r="G106" s="70">
        <v>0</v>
      </c>
      <c r="H106" s="70">
        <f t="shared" si="2"/>
        <v>0</v>
      </c>
      <c r="I106" s="29"/>
      <c r="J106" s="29"/>
      <c r="K106" s="29"/>
      <c r="L106" s="16"/>
      <c r="M106" s="16"/>
    </row>
    <row r="107" spans="1:13" ht="15" x14ac:dyDescent="0.25">
      <c r="A107" s="38"/>
      <c r="B107" s="39" t="s">
        <v>123</v>
      </c>
      <c r="C107" s="29"/>
      <c r="D107" s="27">
        <v>0</v>
      </c>
      <c r="E107" s="27">
        <v>0</v>
      </c>
      <c r="F107" s="29"/>
      <c r="G107" s="70">
        <v>0</v>
      </c>
      <c r="H107" s="70">
        <f t="shared" si="2"/>
        <v>0</v>
      </c>
      <c r="I107" s="29"/>
      <c r="J107" s="29"/>
      <c r="K107" s="29"/>
      <c r="L107" s="16"/>
      <c r="M107" s="16"/>
    </row>
    <row r="108" spans="1:13" ht="15" x14ac:dyDescent="0.25">
      <c r="A108" s="38"/>
      <c r="B108" s="39" t="s">
        <v>124</v>
      </c>
      <c r="C108" s="29"/>
      <c r="D108" s="27">
        <v>0</v>
      </c>
      <c r="E108" s="27">
        <v>0</v>
      </c>
      <c r="F108" s="29"/>
      <c r="G108" s="70">
        <v>0</v>
      </c>
      <c r="H108" s="70">
        <f t="shared" si="2"/>
        <v>0</v>
      </c>
      <c r="I108" s="29"/>
      <c r="J108" s="29"/>
      <c r="K108" s="29"/>
      <c r="L108" s="16"/>
      <c r="M108" s="16"/>
    </row>
    <row r="109" spans="1:13" ht="15" x14ac:dyDescent="0.25">
      <c r="A109" s="38"/>
      <c r="B109" s="39" t="s">
        <v>125</v>
      </c>
      <c r="C109" s="29"/>
      <c r="D109" s="27">
        <v>0</v>
      </c>
      <c r="E109" s="27">
        <v>0</v>
      </c>
      <c r="F109" s="29"/>
      <c r="G109" s="70">
        <v>0</v>
      </c>
      <c r="H109" s="70">
        <f t="shared" si="2"/>
        <v>0</v>
      </c>
      <c r="I109" s="29"/>
      <c r="J109" s="29"/>
      <c r="K109" s="29"/>
      <c r="L109" s="16"/>
      <c r="M109" s="16"/>
    </row>
    <row r="110" spans="1:13" ht="30" x14ac:dyDescent="0.25">
      <c r="A110" s="38"/>
      <c r="B110" s="39" t="s">
        <v>126</v>
      </c>
      <c r="C110" s="29"/>
      <c r="D110" s="27">
        <v>0</v>
      </c>
      <c r="E110" s="27">
        <v>0</v>
      </c>
      <c r="F110" s="29"/>
      <c r="G110" s="70">
        <v>0</v>
      </c>
      <c r="H110" s="70">
        <f t="shared" si="2"/>
        <v>0</v>
      </c>
      <c r="I110" s="29"/>
      <c r="J110" s="29"/>
      <c r="K110" s="29"/>
      <c r="L110" s="16"/>
      <c r="M110" s="16"/>
    </row>
    <row r="111" spans="1:13" ht="15" x14ac:dyDescent="0.25">
      <c r="A111" s="38"/>
      <c r="B111" s="7" t="s">
        <v>45</v>
      </c>
      <c r="C111" s="29"/>
      <c r="D111" s="27">
        <v>0</v>
      </c>
      <c r="E111" s="27">
        <v>0</v>
      </c>
      <c r="F111" s="29"/>
      <c r="G111" s="70">
        <v>0</v>
      </c>
      <c r="H111" s="70">
        <f t="shared" si="2"/>
        <v>0</v>
      </c>
      <c r="I111" s="29"/>
      <c r="J111" s="29"/>
      <c r="K111" s="29"/>
      <c r="L111" s="16"/>
      <c r="M111" s="16"/>
    </row>
    <row r="112" spans="1:13" ht="30" x14ac:dyDescent="0.25">
      <c r="A112" s="38"/>
      <c r="B112" s="7" t="s">
        <v>46</v>
      </c>
      <c r="C112" s="29"/>
      <c r="D112" s="27">
        <v>0</v>
      </c>
      <c r="E112" s="27">
        <v>0</v>
      </c>
      <c r="F112" s="29"/>
      <c r="G112" s="70">
        <v>0</v>
      </c>
      <c r="H112" s="70">
        <f t="shared" si="2"/>
        <v>0</v>
      </c>
      <c r="I112" s="29"/>
      <c r="J112" s="29"/>
      <c r="K112" s="29"/>
      <c r="L112" s="16"/>
      <c r="M112" s="16"/>
    </row>
    <row r="113" spans="1:13" ht="30" x14ac:dyDescent="0.25">
      <c r="A113" s="40" t="s">
        <v>116</v>
      </c>
      <c r="B113" s="7" t="s">
        <v>117</v>
      </c>
      <c r="C113" s="29"/>
      <c r="D113" s="27">
        <v>0</v>
      </c>
      <c r="E113" s="27">
        <v>0</v>
      </c>
      <c r="F113" s="29"/>
      <c r="G113" s="70">
        <v>0</v>
      </c>
      <c r="H113" s="70">
        <f t="shared" si="2"/>
        <v>0</v>
      </c>
      <c r="I113" s="29"/>
      <c r="J113" s="29"/>
      <c r="K113" s="29"/>
      <c r="L113" s="16"/>
      <c r="M113" s="16"/>
    </row>
    <row r="114" spans="1:13" ht="75" x14ac:dyDescent="0.25">
      <c r="A114" s="41" t="s">
        <v>118</v>
      </c>
      <c r="B114" s="7" t="s">
        <v>127</v>
      </c>
      <c r="C114" s="29"/>
      <c r="D114" s="27">
        <v>0</v>
      </c>
      <c r="E114" s="27">
        <v>0</v>
      </c>
      <c r="F114" s="29"/>
      <c r="G114" s="70">
        <v>0</v>
      </c>
      <c r="H114" s="70">
        <f t="shared" si="2"/>
        <v>0</v>
      </c>
      <c r="I114" s="29"/>
      <c r="J114" s="29"/>
      <c r="K114" s="29"/>
      <c r="L114" s="16"/>
      <c r="M114" s="16"/>
    </row>
    <row r="115" spans="1:13" ht="45" x14ac:dyDescent="0.25">
      <c r="A115" s="41" t="s">
        <v>128</v>
      </c>
      <c r="B115" s="7" t="s">
        <v>130</v>
      </c>
      <c r="C115" s="29"/>
      <c r="D115" s="27">
        <v>0</v>
      </c>
      <c r="E115" s="27">
        <v>0</v>
      </c>
      <c r="F115" s="29"/>
      <c r="G115" s="70">
        <v>0</v>
      </c>
      <c r="H115" s="70">
        <f t="shared" si="2"/>
        <v>0</v>
      </c>
      <c r="I115" s="29"/>
      <c r="J115" s="29"/>
      <c r="K115" s="29"/>
      <c r="L115" s="16"/>
      <c r="M115" s="16"/>
    </row>
    <row r="116" spans="1:13" ht="45" x14ac:dyDescent="0.25">
      <c r="A116" s="42" t="s">
        <v>131</v>
      </c>
      <c r="B116" s="7" t="s">
        <v>132</v>
      </c>
      <c r="C116" s="29"/>
      <c r="D116" s="27">
        <v>0</v>
      </c>
      <c r="E116" s="27">
        <v>0</v>
      </c>
      <c r="F116" s="29"/>
      <c r="G116" s="70">
        <v>0</v>
      </c>
      <c r="H116" s="70">
        <f t="shared" si="2"/>
        <v>0</v>
      </c>
      <c r="I116" s="29"/>
      <c r="J116" s="29"/>
      <c r="K116" s="29"/>
      <c r="L116" s="16"/>
      <c r="M116" s="16"/>
    </row>
    <row r="117" spans="1:13" ht="45" x14ac:dyDescent="0.25">
      <c r="A117" s="43" t="s">
        <v>133</v>
      </c>
      <c r="B117" s="7" t="s">
        <v>134</v>
      </c>
      <c r="C117" s="29"/>
      <c r="D117" s="27">
        <v>0</v>
      </c>
      <c r="E117" s="27">
        <v>0</v>
      </c>
      <c r="F117" s="29"/>
      <c r="G117" s="70">
        <v>0</v>
      </c>
      <c r="H117" s="70">
        <f t="shared" si="2"/>
        <v>0</v>
      </c>
      <c r="I117" s="29"/>
      <c r="J117" s="29"/>
      <c r="K117" s="29"/>
      <c r="L117" s="16"/>
      <c r="M117" s="16"/>
    </row>
    <row r="118" spans="1:13" ht="45" x14ac:dyDescent="0.25">
      <c r="A118" s="43" t="s">
        <v>135</v>
      </c>
      <c r="B118" s="7" t="s">
        <v>136</v>
      </c>
      <c r="C118" s="29"/>
      <c r="D118" s="27">
        <v>0</v>
      </c>
      <c r="E118" s="27">
        <v>0</v>
      </c>
      <c r="F118" s="29"/>
      <c r="G118" s="70">
        <v>0</v>
      </c>
      <c r="H118" s="70">
        <f t="shared" si="2"/>
        <v>0</v>
      </c>
      <c r="I118" s="29"/>
      <c r="J118" s="29"/>
      <c r="K118" s="29"/>
      <c r="L118" s="16"/>
      <c r="M118" s="16"/>
    </row>
    <row r="119" spans="1:13" ht="81.75" customHeight="1" x14ac:dyDescent="0.25">
      <c r="A119" s="43" t="s">
        <v>137</v>
      </c>
      <c r="B119" s="7" t="s">
        <v>138</v>
      </c>
      <c r="C119" s="29"/>
      <c r="D119" s="27">
        <v>0</v>
      </c>
      <c r="E119" s="27">
        <v>0</v>
      </c>
      <c r="F119" s="29"/>
      <c r="G119" s="70">
        <v>0</v>
      </c>
      <c r="H119" s="70">
        <f t="shared" si="2"/>
        <v>0</v>
      </c>
      <c r="I119" s="29"/>
      <c r="J119" s="29"/>
      <c r="K119" s="29"/>
      <c r="L119" s="16"/>
      <c r="M119" s="16"/>
    </row>
    <row r="120" spans="1:13" ht="15.75" x14ac:dyDescent="0.25">
      <c r="A120" s="43" t="s">
        <v>139</v>
      </c>
      <c r="B120" s="7" t="s">
        <v>140</v>
      </c>
      <c r="C120" s="29"/>
      <c r="D120" s="27">
        <v>0</v>
      </c>
      <c r="E120" s="27">
        <v>0</v>
      </c>
      <c r="F120" s="29"/>
      <c r="G120" s="70">
        <v>0</v>
      </c>
      <c r="H120" s="70">
        <f t="shared" si="2"/>
        <v>0</v>
      </c>
      <c r="I120" s="29"/>
      <c r="J120" s="29"/>
      <c r="K120" s="29"/>
      <c r="L120" s="16"/>
      <c r="M120" s="16"/>
    </row>
    <row r="121" spans="1:13" ht="30" x14ac:dyDescent="0.25">
      <c r="A121" s="43" t="s">
        <v>141</v>
      </c>
      <c r="B121" s="7" t="s">
        <v>142</v>
      </c>
      <c r="C121" s="29"/>
      <c r="D121" s="27">
        <v>0</v>
      </c>
      <c r="E121" s="27">
        <v>0</v>
      </c>
      <c r="F121" s="29"/>
      <c r="G121" s="70">
        <v>0</v>
      </c>
      <c r="H121" s="70">
        <f t="shared" si="2"/>
        <v>0</v>
      </c>
      <c r="I121" s="29"/>
      <c r="J121" s="29"/>
      <c r="K121" s="29"/>
      <c r="L121" s="16"/>
      <c r="M121" s="16"/>
    </row>
    <row r="122" spans="1:13" ht="45" x14ac:dyDescent="0.25">
      <c r="A122" s="43" t="s">
        <v>143</v>
      </c>
      <c r="B122" s="7" t="s">
        <v>144</v>
      </c>
      <c r="C122" s="29"/>
      <c r="D122" s="27">
        <v>0</v>
      </c>
      <c r="E122" s="27">
        <v>0</v>
      </c>
      <c r="F122" s="29"/>
      <c r="G122" s="70">
        <v>0</v>
      </c>
      <c r="H122" s="70">
        <f t="shared" si="2"/>
        <v>0</v>
      </c>
      <c r="I122" s="29"/>
      <c r="J122" s="29"/>
      <c r="K122" s="29"/>
      <c r="L122" s="16"/>
      <c r="M122" s="16"/>
    </row>
    <row r="123" spans="1:13" ht="15.75" x14ac:dyDescent="0.25">
      <c r="A123" s="43"/>
      <c r="B123" s="7"/>
      <c r="C123" s="29"/>
      <c r="D123" s="27">
        <v>0</v>
      </c>
      <c r="E123" s="27">
        <v>0</v>
      </c>
      <c r="F123" s="29"/>
      <c r="G123" s="70"/>
      <c r="H123" s="70"/>
      <c r="I123" s="29"/>
      <c r="J123" s="29"/>
      <c r="K123" s="29"/>
      <c r="L123" s="16"/>
      <c r="M123" s="16"/>
    </row>
    <row r="124" spans="1:13" ht="15.75" x14ac:dyDescent="0.25">
      <c r="A124" s="44"/>
      <c r="B124" s="45" t="s">
        <v>145</v>
      </c>
      <c r="C124" s="29"/>
      <c r="D124" s="27">
        <v>0</v>
      </c>
      <c r="E124" s="27">
        <v>0</v>
      </c>
      <c r="F124" s="29"/>
      <c r="G124" s="70"/>
      <c r="H124" s="70"/>
      <c r="I124" s="29"/>
      <c r="J124" s="29"/>
      <c r="K124" s="29"/>
      <c r="L124" s="16"/>
      <c r="M124" s="16"/>
    </row>
    <row r="125" spans="1:13" ht="18.75" x14ac:dyDescent="0.25">
      <c r="A125" s="22" t="s">
        <v>59</v>
      </c>
      <c r="B125" s="23"/>
      <c r="C125" s="36"/>
      <c r="D125" s="27">
        <v>0</v>
      </c>
      <c r="E125" s="27">
        <v>0</v>
      </c>
      <c r="F125" s="36"/>
      <c r="G125" s="74"/>
      <c r="H125" s="74"/>
      <c r="I125" s="36"/>
      <c r="J125" s="36"/>
      <c r="K125" s="37"/>
      <c r="L125" s="17"/>
      <c r="M125" s="17"/>
    </row>
    <row r="126" spans="1:13" ht="15" x14ac:dyDescent="0.25">
      <c r="A126" s="31"/>
      <c r="B126" s="8" t="s">
        <v>62</v>
      </c>
      <c r="C126" s="29"/>
      <c r="D126" s="27">
        <v>0</v>
      </c>
      <c r="E126" s="27">
        <v>0</v>
      </c>
      <c r="F126" s="29"/>
      <c r="G126" s="70"/>
      <c r="H126" s="70"/>
      <c r="I126" s="29"/>
      <c r="J126" s="29"/>
      <c r="K126" s="29"/>
      <c r="L126" s="16"/>
      <c r="M126" s="16"/>
    </row>
    <row r="127" spans="1:13" ht="15" x14ac:dyDescent="0.25">
      <c r="A127" s="38"/>
      <c r="B127" s="39" t="s">
        <v>60</v>
      </c>
      <c r="C127" s="27"/>
      <c r="D127" s="27">
        <v>0</v>
      </c>
      <c r="E127" s="27">
        <v>0</v>
      </c>
      <c r="F127" s="27"/>
      <c r="G127" s="69"/>
      <c r="H127" s="69"/>
      <c r="I127" s="27"/>
      <c r="J127" s="27"/>
      <c r="K127" s="27"/>
      <c r="L127" s="16"/>
      <c r="M127" s="16"/>
    </row>
    <row r="128" spans="1:13" ht="15" x14ac:dyDescent="0.25">
      <c r="A128" s="38"/>
      <c r="B128" s="39" t="s">
        <v>61</v>
      </c>
      <c r="C128" s="29"/>
      <c r="D128" s="27">
        <v>0</v>
      </c>
      <c r="E128" s="27">
        <v>0</v>
      </c>
      <c r="F128" s="29"/>
      <c r="G128" s="70"/>
      <c r="H128" s="70"/>
      <c r="I128" s="29"/>
      <c r="J128" s="29"/>
      <c r="K128" s="29"/>
      <c r="L128" s="16"/>
      <c r="M128" s="16"/>
    </row>
    <row r="129" spans="1:13" ht="30.75" customHeight="1" x14ac:dyDescent="0.25">
      <c r="A129" s="38"/>
      <c r="B129" s="7" t="s">
        <v>148</v>
      </c>
      <c r="C129" s="29"/>
      <c r="D129" s="27">
        <v>0</v>
      </c>
      <c r="E129" s="27">
        <v>0</v>
      </c>
      <c r="F129" s="29"/>
      <c r="G129" s="70"/>
      <c r="H129" s="70"/>
      <c r="I129" s="29"/>
      <c r="J129" s="29"/>
      <c r="K129" s="29"/>
      <c r="L129" s="16"/>
      <c r="M129" s="16"/>
    </row>
    <row r="130" spans="1:13" ht="15" x14ac:dyDescent="0.25">
      <c r="A130" s="38"/>
      <c r="B130" s="11" t="s">
        <v>71</v>
      </c>
      <c r="C130" s="28"/>
      <c r="D130" s="27">
        <v>0</v>
      </c>
      <c r="E130" s="27">
        <v>0</v>
      </c>
      <c r="F130" s="28"/>
      <c r="G130" s="71"/>
      <c r="H130" s="71"/>
      <c r="I130" s="28"/>
      <c r="J130" s="28"/>
      <c r="K130" s="28"/>
      <c r="L130" s="16"/>
      <c r="M130" s="16"/>
    </row>
    <row r="131" spans="1:13" ht="15" x14ac:dyDescent="0.25">
      <c r="A131" s="44"/>
      <c r="B131" s="46" t="s">
        <v>64</v>
      </c>
      <c r="C131" s="27"/>
      <c r="D131" s="27">
        <v>0</v>
      </c>
      <c r="E131" s="27">
        <v>0</v>
      </c>
      <c r="F131" s="27"/>
      <c r="G131" s="69"/>
      <c r="H131" s="69"/>
      <c r="I131" s="27"/>
      <c r="J131" s="27"/>
      <c r="K131" s="27"/>
      <c r="L131" s="16"/>
      <c r="M131" s="16"/>
    </row>
    <row r="132" spans="1:13" ht="15" x14ac:dyDescent="0.25">
      <c r="A132" s="47"/>
      <c r="B132" s="48" t="s">
        <v>65</v>
      </c>
      <c r="C132" s="29"/>
      <c r="D132" s="27">
        <v>0</v>
      </c>
      <c r="E132" s="27">
        <v>0</v>
      </c>
      <c r="F132" s="29"/>
      <c r="G132" s="70"/>
      <c r="H132" s="70"/>
      <c r="I132" s="29"/>
      <c r="J132" s="29"/>
      <c r="K132" s="29"/>
      <c r="L132" s="16"/>
      <c r="M132" s="16"/>
    </row>
    <row r="133" spans="1:13" ht="38.25" customHeight="1" x14ac:dyDescent="0.2">
      <c r="A133" s="84" t="s">
        <v>66</v>
      </c>
      <c r="B133" s="85"/>
      <c r="C133" s="36"/>
      <c r="D133" s="36"/>
      <c r="E133" s="36"/>
      <c r="F133" s="36"/>
      <c r="G133" s="74"/>
      <c r="H133" s="74"/>
      <c r="I133" s="36"/>
      <c r="J133" s="36"/>
      <c r="K133" s="37"/>
      <c r="L133" s="17"/>
      <c r="M133" s="17"/>
    </row>
    <row r="134" spans="1:13" ht="76.5" customHeight="1" x14ac:dyDescent="0.25">
      <c r="A134" s="49" t="s">
        <v>42</v>
      </c>
      <c r="B134" s="9" t="s">
        <v>90</v>
      </c>
      <c r="C134" s="29"/>
      <c r="D134" s="29">
        <f>668797.8/1000</f>
        <v>668.79780000000005</v>
      </c>
      <c r="E134" s="29">
        <f>D134</f>
        <v>668.79780000000005</v>
      </c>
      <c r="F134" s="29"/>
      <c r="G134" s="70">
        <f>671362.8/1000</f>
        <v>671.36279999999999</v>
      </c>
      <c r="H134" s="70">
        <f>G134</f>
        <v>671.36279999999999</v>
      </c>
      <c r="I134" s="29"/>
      <c r="J134" s="29">
        <f>G134</f>
        <v>671.36279999999999</v>
      </c>
      <c r="K134" s="29">
        <f>J134</f>
        <v>671.36279999999999</v>
      </c>
      <c r="L134" s="16"/>
      <c r="M134" s="16"/>
    </row>
    <row r="135" spans="1:13" ht="24.75" customHeight="1" x14ac:dyDescent="0.25">
      <c r="A135" s="50" t="s">
        <v>92</v>
      </c>
      <c r="B135" s="3" t="s">
        <v>150</v>
      </c>
      <c r="C135" s="29"/>
      <c r="D135" s="29">
        <f>432522.8/1000</f>
        <v>432.52279999999996</v>
      </c>
      <c r="E135" s="29">
        <f t="shared" ref="E135:E170" si="3">D135</f>
        <v>432.52279999999996</v>
      </c>
      <c r="F135" s="29"/>
      <c r="G135" s="70">
        <f>435087.8/1000</f>
        <v>435.08780000000002</v>
      </c>
      <c r="H135" s="70">
        <f t="shared" ref="H135:H170" si="4">G135</f>
        <v>435.08780000000002</v>
      </c>
      <c r="I135" s="29"/>
      <c r="J135" s="29">
        <f t="shared" ref="J135:J170" si="5">G135</f>
        <v>435.08780000000002</v>
      </c>
      <c r="K135" s="29">
        <f t="shared" ref="K135:K170" si="6">J135</f>
        <v>435.08780000000002</v>
      </c>
      <c r="L135" s="16"/>
      <c r="M135" s="16"/>
    </row>
    <row r="136" spans="1:13" ht="29.25" customHeight="1" x14ac:dyDescent="0.25">
      <c r="A136" s="49" t="s">
        <v>91</v>
      </c>
      <c r="B136" s="4" t="s">
        <v>151</v>
      </c>
      <c r="C136" s="29"/>
      <c r="D136" s="29">
        <f>262446/1000</f>
        <v>262.44600000000003</v>
      </c>
      <c r="E136" s="29">
        <f t="shared" si="3"/>
        <v>262.44600000000003</v>
      </c>
      <c r="F136" s="29"/>
      <c r="G136" s="70">
        <f>265011/1000</f>
        <v>265.01100000000002</v>
      </c>
      <c r="H136" s="70">
        <f t="shared" si="4"/>
        <v>265.01100000000002</v>
      </c>
      <c r="I136" s="29"/>
      <c r="J136" s="29">
        <f t="shared" si="5"/>
        <v>265.01100000000002</v>
      </c>
      <c r="K136" s="29">
        <f t="shared" si="6"/>
        <v>265.01100000000002</v>
      </c>
      <c r="L136" s="16"/>
      <c r="M136" s="16"/>
    </row>
    <row r="137" spans="1:13" ht="29.25" customHeight="1" x14ac:dyDescent="0.25">
      <c r="A137" s="49"/>
      <c r="B137" s="10" t="s">
        <v>21</v>
      </c>
      <c r="C137" s="29"/>
      <c r="D137" s="29">
        <f>46600/1000</f>
        <v>46.6</v>
      </c>
      <c r="E137" s="29">
        <f t="shared" si="3"/>
        <v>46.6</v>
      </c>
      <c r="F137" s="29"/>
      <c r="G137" s="70">
        <f>49165/1000</f>
        <v>49.164999999999999</v>
      </c>
      <c r="H137" s="70">
        <f t="shared" si="4"/>
        <v>49.164999999999999</v>
      </c>
      <c r="I137" s="29"/>
      <c r="J137" s="29">
        <f t="shared" si="5"/>
        <v>49.164999999999999</v>
      </c>
      <c r="K137" s="29">
        <f t="shared" si="6"/>
        <v>49.164999999999999</v>
      </c>
      <c r="L137" s="16"/>
      <c r="M137" s="16"/>
    </row>
    <row r="138" spans="1:13" ht="29.25" customHeight="1" x14ac:dyDescent="0.25">
      <c r="A138" s="49"/>
      <c r="B138" s="7" t="s">
        <v>22</v>
      </c>
      <c r="C138" s="29"/>
      <c r="D138" s="70">
        <f>185082.9/1000</f>
        <v>185.0829</v>
      </c>
      <c r="E138" s="29">
        <f t="shared" si="3"/>
        <v>185.0829</v>
      </c>
      <c r="F138" s="29"/>
      <c r="G138" s="70">
        <f>185082.9/1000</f>
        <v>185.0829</v>
      </c>
      <c r="H138" s="70">
        <f t="shared" si="4"/>
        <v>185.0829</v>
      </c>
      <c r="I138" s="29"/>
      <c r="J138" s="29">
        <f t="shared" si="5"/>
        <v>185.0829</v>
      </c>
      <c r="K138" s="29">
        <f t="shared" si="6"/>
        <v>185.0829</v>
      </c>
      <c r="L138" s="16"/>
      <c r="M138" s="16"/>
    </row>
    <row r="139" spans="1:13" ht="29.25" customHeight="1" x14ac:dyDescent="0.25">
      <c r="A139" s="49"/>
      <c r="B139" s="7" t="s">
        <v>23</v>
      </c>
      <c r="C139" s="29"/>
      <c r="D139" s="70">
        <f>30763.1/1000</f>
        <v>30.763099999999998</v>
      </c>
      <c r="E139" s="29">
        <f t="shared" si="3"/>
        <v>30.763099999999998</v>
      </c>
      <c r="F139" s="29"/>
      <c r="G139" s="70">
        <f>30763.1/1000</f>
        <v>30.763099999999998</v>
      </c>
      <c r="H139" s="70">
        <f t="shared" si="4"/>
        <v>30.763099999999998</v>
      </c>
      <c r="I139" s="29"/>
      <c r="J139" s="29">
        <f t="shared" si="5"/>
        <v>30.763099999999998</v>
      </c>
      <c r="K139" s="29">
        <f t="shared" si="6"/>
        <v>30.763099999999998</v>
      </c>
      <c r="L139" s="16"/>
      <c r="M139" s="16"/>
    </row>
    <row r="140" spans="1:13" ht="29.25" customHeight="1" x14ac:dyDescent="0.25">
      <c r="A140" s="49" t="s">
        <v>93</v>
      </c>
      <c r="B140" s="4" t="s">
        <v>154</v>
      </c>
      <c r="C140" s="29"/>
      <c r="D140" s="70">
        <f>170076.8/1000</f>
        <v>170.07679999999999</v>
      </c>
      <c r="E140" s="29">
        <f t="shared" si="3"/>
        <v>170.07679999999999</v>
      </c>
      <c r="F140" s="29"/>
      <c r="G140" s="70">
        <f>170076.8/1000</f>
        <v>170.07679999999999</v>
      </c>
      <c r="H140" s="70">
        <f t="shared" si="4"/>
        <v>170.07679999999999</v>
      </c>
      <c r="I140" s="29"/>
      <c r="J140" s="29">
        <f t="shared" si="5"/>
        <v>170.07679999999999</v>
      </c>
      <c r="K140" s="29">
        <f t="shared" si="6"/>
        <v>170.07679999999999</v>
      </c>
      <c r="L140" s="16"/>
      <c r="M140" s="16"/>
    </row>
    <row r="141" spans="1:13" ht="29.25" customHeight="1" x14ac:dyDescent="0.25">
      <c r="A141" s="49" t="s">
        <v>94</v>
      </c>
      <c r="B141" s="7" t="s">
        <v>155</v>
      </c>
      <c r="C141" s="29"/>
      <c r="D141" s="29">
        <f>382420.7/1000</f>
        <v>382.42070000000001</v>
      </c>
      <c r="E141" s="29">
        <f t="shared" si="3"/>
        <v>382.42070000000001</v>
      </c>
      <c r="F141" s="29"/>
      <c r="G141" s="70">
        <f>384985.7/1000</f>
        <v>384.98570000000001</v>
      </c>
      <c r="H141" s="70">
        <f t="shared" si="4"/>
        <v>384.98570000000001</v>
      </c>
      <c r="I141" s="29"/>
      <c r="J141" s="29">
        <f t="shared" si="5"/>
        <v>384.98570000000001</v>
      </c>
      <c r="K141" s="29">
        <f t="shared" si="6"/>
        <v>384.98570000000001</v>
      </c>
      <c r="L141" s="16"/>
      <c r="M141" s="16"/>
    </row>
    <row r="142" spans="1:13" ht="29.25" customHeight="1" x14ac:dyDescent="0.25">
      <c r="A142" s="49"/>
      <c r="B142" s="10" t="s">
        <v>67</v>
      </c>
      <c r="C142" s="29"/>
      <c r="D142" s="29">
        <f>D141</f>
        <v>382.42070000000001</v>
      </c>
      <c r="E142" s="29">
        <f t="shared" si="3"/>
        <v>382.42070000000001</v>
      </c>
      <c r="F142" s="29"/>
      <c r="G142" s="70">
        <f>G141</f>
        <v>384.98570000000001</v>
      </c>
      <c r="H142" s="70">
        <f t="shared" si="4"/>
        <v>384.98570000000001</v>
      </c>
      <c r="I142" s="29"/>
      <c r="J142" s="29">
        <f t="shared" si="5"/>
        <v>384.98570000000001</v>
      </c>
      <c r="K142" s="29">
        <f t="shared" si="6"/>
        <v>384.98570000000001</v>
      </c>
      <c r="L142" s="16"/>
      <c r="M142" s="16"/>
    </row>
    <row r="143" spans="1:13" ht="29.25" customHeight="1" x14ac:dyDescent="0.25">
      <c r="A143" s="49"/>
      <c r="B143" s="7" t="s">
        <v>27</v>
      </c>
      <c r="C143" s="29"/>
      <c r="D143" s="29">
        <v>0</v>
      </c>
      <c r="E143" s="29">
        <f t="shared" si="3"/>
        <v>0</v>
      </c>
      <c r="F143" s="29"/>
      <c r="G143" s="70">
        <v>0</v>
      </c>
      <c r="H143" s="70">
        <f t="shared" si="4"/>
        <v>0</v>
      </c>
      <c r="I143" s="29"/>
      <c r="J143" s="29">
        <f t="shared" si="5"/>
        <v>0</v>
      </c>
      <c r="K143" s="29">
        <f t="shared" si="6"/>
        <v>0</v>
      </c>
      <c r="L143" s="16"/>
      <c r="M143" s="16"/>
    </row>
    <row r="144" spans="1:13" ht="29.25" customHeight="1" x14ac:dyDescent="0.25">
      <c r="A144" s="49" t="s">
        <v>95</v>
      </c>
      <c r="B144" s="51" t="s">
        <v>102</v>
      </c>
      <c r="C144" s="29"/>
      <c r="D144" s="29">
        <v>0</v>
      </c>
      <c r="E144" s="29">
        <f t="shared" si="3"/>
        <v>0</v>
      </c>
      <c r="F144" s="29"/>
      <c r="G144" s="70">
        <v>0</v>
      </c>
      <c r="H144" s="70">
        <f t="shared" si="4"/>
        <v>0</v>
      </c>
      <c r="I144" s="29"/>
      <c r="J144" s="29">
        <f t="shared" si="5"/>
        <v>0</v>
      </c>
      <c r="K144" s="29">
        <f t="shared" si="6"/>
        <v>0</v>
      </c>
      <c r="L144" s="16"/>
      <c r="M144" s="16"/>
    </row>
    <row r="145" spans="1:13" ht="29.25" customHeight="1" x14ac:dyDescent="0.25">
      <c r="A145" s="49" t="s">
        <v>103</v>
      </c>
      <c r="B145" s="7" t="s">
        <v>156</v>
      </c>
      <c r="C145" s="29"/>
      <c r="D145" s="29">
        <v>110.4</v>
      </c>
      <c r="E145" s="29">
        <f t="shared" si="3"/>
        <v>110.4</v>
      </c>
      <c r="F145" s="29"/>
      <c r="G145" s="70">
        <f>110397.9/1000</f>
        <v>110.39789999999999</v>
      </c>
      <c r="H145" s="70">
        <f t="shared" si="4"/>
        <v>110.39789999999999</v>
      </c>
      <c r="I145" s="29"/>
      <c r="J145" s="29">
        <f t="shared" si="5"/>
        <v>110.39789999999999</v>
      </c>
      <c r="K145" s="29">
        <f t="shared" si="6"/>
        <v>110.39789999999999</v>
      </c>
      <c r="L145" s="16"/>
      <c r="M145" s="16"/>
    </row>
    <row r="146" spans="1:13" ht="47.25" customHeight="1" x14ac:dyDescent="0.25">
      <c r="A146" s="49" t="s">
        <v>104</v>
      </c>
      <c r="B146" s="52" t="s">
        <v>106</v>
      </c>
      <c r="C146" s="29"/>
      <c r="D146" s="29">
        <v>385.9</v>
      </c>
      <c r="E146" s="29">
        <f t="shared" si="3"/>
        <v>385.9</v>
      </c>
      <c r="F146" s="29"/>
      <c r="G146" s="70">
        <f>385922.8/1000</f>
        <v>385.9228</v>
      </c>
      <c r="H146" s="70">
        <f t="shared" si="4"/>
        <v>385.9228</v>
      </c>
      <c r="I146" s="29"/>
      <c r="J146" s="29">
        <f t="shared" si="5"/>
        <v>385.9228</v>
      </c>
      <c r="K146" s="29">
        <f t="shared" si="6"/>
        <v>385.9228</v>
      </c>
      <c r="L146" s="16"/>
      <c r="M146" s="16"/>
    </row>
    <row r="147" spans="1:13" ht="30" customHeight="1" x14ac:dyDescent="0.25">
      <c r="A147" s="53" t="s">
        <v>105</v>
      </c>
      <c r="B147" s="54" t="s">
        <v>109</v>
      </c>
      <c r="C147" s="55"/>
      <c r="D147" s="29">
        <v>286.39999999999998</v>
      </c>
      <c r="E147" s="29">
        <f t="shared" si="3"/>
        <v>286.39999999999998</v>
      </c>
      <c r="F147" s="29"/>
      <c r="G147" s="70">
        <f>286377.1/1000</f>
        <v>286.37709999999998</v>
      </c>
      <c r="H147" s="70">
        <f t="shared" si="4"/>
        <v>286.37709999999998</v>
      </c>
      <c r="I147" s="29"/>
      <c r="J147" s="29">
        <f t="shared" si="5"/>
        <v>286.37709999999998</v>
      </c>
      <c r="K147" s="29">
        <f t="shared" si="6"/>
        <v>286.37709999999998</v>
      </c>
      <c r="L147" s="16"/>
      <c r="M147" s="16"/>
    </row>
    <row r="148" spans="1:13" ht="39" customHeight="1" x14ac:dyDescent="0.25">
      <c r="A148" s="53" t="s">
        <v>110</v>
      </c>
      <c r="B148" s="56" t="s">
        <v>111</v>
      </c>
      <c r="C148" s="55"/>
      <c r="D148" s="29">
        <v>177.4</v>
      </c>
      <c r="E148" s="29">
        <f t="shared" si="3"/>
        <v>177.4</v>
      </c>
      <c r="F148" s="29"/>
      <c r="G148" s="70">
        <f>177430.1/1000</f>
        <v>177.43010000000001</v>
      </c>
      <c r="H148" s="70">
        <f t="shared" si="4"/>
        <v>177.43010000000001</v>
      </c>
      <c r="I148" s="29"/>
      <c r="J148" s="29">
        <f t="shared" si="5"/>
        <v>177.43010000000001</v>
      </c>
      <c r="K148" s="29">
        <f t="shared" si="6"/>
        <v>177.43010000000001</v>
      </c>
      <c r="L148" s="16"/>
      <c r="M148" s="16"/>
    </row>
    <row r="149" spans="1:13" ht="48.75" customHeight="1" x14ac:dyDescent="0.25">
      <c r="A149" s="53" t="s">
        <v>112</v>
      </c>
      <c r="B149" s="54" t="s">
        <v>113</v>
      </c>
      <c r="C149" s="55"/>
      <c r="D149" s="29">
        <v>0</v>
      </c>
      <c r="E149" s="29">
        <f t="shared" si="3"/>
        <v>0</v>
      </c>
      <c r="F149" s="29"/>
      <c r="G149" s="70">
        <v>0</v>
      </c>
      <c r="H149" s="70">
        <f t="shared" si="4"/>
        <v>0</v>
      </c>
      <c r="I149" s="29"/>
      <c r="J149" s="29">
        <f t="shared" si="5"/>
        <v>0</v>
      </c>
      <c r="K149" s="29">
        <f t="shared" si="6"/>
        <v>0</v>
      </c>
      <c r="L149" s="16"/>
      <c r="M149" s="16"/>
    </row>
    <row r="150" spans="1:13" ht="60" x14ac:dyDescent="0.25">
      <c r="A150" s="49" t="s">
        <v>43</v>
      </c>
      <c r="B150" s="19" t="s">
        <v>68</v>
      </c>
      <c r="C150" s="29"/>
      <c r="D150" s="29">
        <v>0</v>
      </c>
      <c r="E150" s="29">
        <f t="shared" si="3"/>
        <v>0</v>
      </c>
      <c r="F150" s="29"/>
      <c r="G150" s="70">
        <v>0</v>
      </c>
      <c r="H150" s="70">
        <f t="shared" si="4"/>
        <v>0</v>
      </c>
      <c r="I150" s="29"/>
      <c r="J150" s="29">
        <f t="shared" si="5"/>
        <v>0</v>
      </c>
      <c r="K150" s="29">
        <f t="shared" si="6"/>
        <v>0</v>
      </c>
      <c r="L150" s="16"/>
      <c r="M150" s="16"/>
    </row>
    <row r="151" spans="1:13" ht="15" x14ac:dyDescent="0.25">
      <c r="A151" s="57"/>
      <c r="B151" s="5" t="s">
        <v>3</v>
      </c>
      <c r="C151" s="28"/>
      <c r="D151" s="28">
        <v>0</v>
      </c>
      <c r="E151" s="29">
        <f t="shared" si="3"/>
        <v>0</v>
      </c>
      <c r="F151" s="28"/>
      <c r="G151" s="71"/>
      <c r="H151" s="70">
        <f t="shared" si="4"/>
        <v>0</v>
      </c>
      <c r="I151" s="28"/>
      <c r="J151" s="29">
        <f t="shared" si="5"/>
        <v>0</v>
      </c>
      <c r="K151" s="29">
        <f t="shared" si="6"/>
        <v>0</v>
      </c>
      <c r="L151" s="16"/>
      <c r="M151" s="16"/>
    </row>
    <row r="152" spans="1:13" ht="15" x14ac:dyDescent="0.25">
      <c r="A152" s="58" t="s">
        <v>96</v>
      </c>
      <c r="B152" s="3" t="s">
        <v>150</v>
      </c>
      <c r="C152" s="27"/>
      <c r="D152" s="27">
        <v>0</v>
      </c>
      <c r="E152" s="29">
        <f t="shared" si="3"/>
        <v>0</v>
      </c>
      <c r="F152" s="27"/>
      <c r="G152" s="69">
        <v>0</v>
      </c>
      <c r="H152" s="70">
        <f t="shared" si="4"/>
        <v>0</v>
      </c>
      <c r="I152" s="27"/>
      <c r="J152" s="29">
        <f t="shared" si="5"/>
        <v>0</v>
      </c>
      <c r="K152" s="29">
        <f t="shared" si="6"/>
        <v>0</v>
      </c>
      <c r="L152" s="16"/>
      <c r="M152" s="16"/>
    </row>
    <row r="153" spans="1:13" ht="30" x14ac:dyDescent="0.25">
      <c r="A153" s="59" t="s">
        <v>97</v>
      </c>
      <c r="B153" s="4" t="s">
        <v>151</v>
      </c>
      <c r="C153" s="29"/>
      <c r="D153" s="29">
        <v>0</v>
      </c>
      <c r="E153" s="29">
        <f t="shared" si="3"/>
        <v>0</v>
      </c>
      <c r="F153" s="29"/>
      <c r="G153" s="70">
        <v>0</v>
      </c>
      <c r="H153" s="70">
        <f t="shared" si="4"/>
        <v>0</v>
      </c>
      <c r="I153" s="29"/>
      <c r="J153" s="29">
        <f t="shared" si="5"/>
        <v>0</v>
      </c>
      <c r="K153" s="29">
        <f t="shared" si="6"/>
        <v>0</v>
      </c>
      <c r="L153" s="16"/>
      <c r="M153" s="16"/>
    </row>
    <row r="154" spans="1:13" ht="15" x14ac:dyDescent="0.25">
      <c r="A154" s="60"/>
      <c r="B154" s="10" t="s">
        <v>21</v>
      </c>
      <c r="C154" s="27"/>
      <c r="D154" s="27">
        <v>0</v>
      </c>
      <c r="E154" s="29">
        <f t="shared" si="3"/>
        <v>0</v>
      </c>
      <c r="F154" s="27"/>
      <c r="G154" s="69">
        <v>0</v>
      </c>
      <c r="H154" s="70">
        <f t="shared" si="4"/>
        <v>0</v>
      </c>
      <c r="I154" s="27"/>
      <c r="J154" s="29">
        <f t="shared" si="5"/>
        <v>0</v>
      </c>
      <c r="K154" s="29">
        <f t="shared" si="6"/>
        <v>0</v>
      </c>
      <c r="L154" s="16"/>
      <c r="M154" s="16"/>
    </row>
    <row r="155" spans="1:13" ht="15" x14ac:dyDescent="0.25">
      <c r="A155" s="60"/>
      <c r="B155" s="7" t="s">
        <v>22</v>
      </c>
      <c r="C155" s="29"/>
      <c r="D155" s="29">
        <v>0</v>
      </c>
      <c r="E155" s="29">
        <f t="shared" si="3"/>
        <v>0</v>
      </c>
      <c r="F155" s="29"/>
      <c r="G155" s="70">
        <v>0</v>
      </c>
      <c r="H155" s="70">
        <f t="shared" si="4"/>
        <v>0</v>
      </c>
      <c r="I155" s="29"/>
      <c r="J155" s="29">
        <f t="shared" si="5"/>
        <v>0</v>
      </c>
      <c r="K155" s="29">
        <f t="shared" si="6"/>
        <v>0</v>
      </c>
      <c r="L155" s="16"/>
      <c r="M155" s="16"/>
    </row>
    <row r="156" spans="1:13" ht="15" x14ac:dyDescent="0.25">
      <c r="A156" s="58"/>
      <c r="B156" s="7" t="s">
        <v>23</v>
      </c>
      <c r="C156" s="29"/>
      <c r="D156" s="29">
        <v>0</v>
      </c>
      <c r="E156" s="29">
        <f t="shared" si="3"/>
        <v>0</v>
      </c>
      <c r="F156" s="29"/>
      <c r="G156" s="70">
        <v>0</v>
      </c>
      <c r="H156" s="70">
        <f t="shared" si="4"/>
        <v>0</v>
      </c>
      <c r="I156" s="29"/>
      <c r="J156" s="29">
        <f t="shared" si="5"/>
        <v>0</v>
      </c>
      <c r="K156" s="29">
        <f t="shared" si="6"/>
        <v>0</v>
      </c>
      <c r="L156" s="16"/>
      <c r="M156" s="16"/>
    </row>
    <row r="157" spans="1:13" ht="15" x14ac:dyDescent="0.25">
      <c r="A157" s="49" t="s">
        <v>98</v>
      </c>
      <c r="B157" s="4" t="s">
        <v>44</v>
      </c>
      <c r="C157" s="29"/>
      <c r="D157" s="29">
        <v>0</v>
      </c>
      <c r="E157" s="29">
        <f t="shared" si="3"/>
        <v>0</v>
      </c>
      <c r="F157" s="29"/>
      <c r="G157" s="70">
        <v>0</v>
      </c>
      <c r="H157" s="70">
        <f t="shared" si="4"/>
        <v>0</v>
      </c>
      <c r="I157" s="29"/>
      <c r="J157" s="29">
        <f t="shared" si="5"/>
        <v>0</v>
      </c>
      <c r="K157" s="29">
        <f t="shared" si="6"/>
        <v>0</v>
      </c>
      <c r="L157" s="16"/>
      <c r="M157" s="16"/>
    </row>
    <row r="158" spans="1:13" ht="30" x14ac:dyDescent="0.25">
      <c r="A158" s="59" t="s">
        <v>99</v>
      </c>
      <c r="B158" s="7" t="s">
        <v>152</v>
      </c>
      <c r="C158" s="29"/>
      <c r="D158" s="29">
        <v>0</v>
      </c>
      <c r="E158" s="29">
        <f t="shared" si="3"/>
        <v>0</v>
      </c>
      <c r="F158" s="29"/>
      <c r="G158" s="70">
        <v>0</v>
      </c>
      <c r="H158" s="70">
        <f t="shared" si="4"/>
        <v>0</v>
      </c>
      <c r="I158" s="29"/>
      <c r="J158" s="29">
        <f t="shared" si="5"/>
        <v>0</v>
      </c>
      <c r="K158" s="29">
        <f t="shared" si="6"/>
        <v>0</v>
      </c>
      <c r="L158" s="16"/>
      <c r="M158" s="16"/>
    </row>
    <row r="159" spans="1:13" ht="30" x14ac:dyDescent="0.25">
      <c r="A159" s="60"/>
      <c r="B159" s="10" t="s">
        <v>67</v>
      </c>
      <c r="C159" s="27"/>
      <c r="D159" s="27">
        <v>0</v>
      </c>
      <c r="E159" s="29">
        <f t="shared" si="3"/>
        <v>0</v>
      </c>
      <c r="F159" s="27"/>
      <c r="G159" s="69">
        <v>0</v>
      </c>
      <c r="H159" s="70">
        <f t="shared" si="4"/>
        <v>0</v>
      </c>
      <c r="I159" s="27"/>
      <c r="J159" s="29">
        <f t="shared" si="5"/>
        <v>0</v>
      </c>
      <c r="K159" s="29">
        <f t="shared" si="6"/>
        <v>0</v>
      </c>
      <c r="L159" s="16"/>
      <c r="M159" s="16"/>
    </row>
    <row r="160" spans="1:13" ht="30" x14ac:dyDescent="0.25">
      <c r="A160" s="58"/>
      <c r="B160" s="7" t="s">
        <v>27</v>
      </c>
      <c r="C160" s="29"/>
      <c r="D160" s="29">
        <v>0</v>
      </c>
      <c r="E160" s="29">
        <f t="shared" si="3"/>
        <v>0</v>
      </c>
      <c r="F160" s="29"/>
      <c r="G160" s="70">
        <v>0</v>
      </c>
      <c r="H160" s="70">
        <f t="shared" si="4"/>
        <v>0</v>
      </c>
      <c r="I160" s="29"/>
      <c r="J160" s="29">
        <f t="shared" si="5"/>
        <v>0</v>
      </c>
      <c r="K160" s="29">
        <f t="shared" si="6"/>
        <v>0</v>
      </c>
      <c r="L160" s="16"/>
      <c r="M160" s="16"/>
    </row>
    <row r="161" spans="1:13" ht="34.5" customHeight="1" x14ac:dyDescent="0.25">
      <c r="A161" s="58" t="s">
        <v>100</v>
      </c>
      <c r="B161" s="51" t="s">
        <v>102</v>
      </c>
      <c r="C161" s="29"/>
      <c r="D161" s="29">
        <v>0</v>
      </c>
      <c r="E161" s="29">
        <f t="shared" si="3"/>
        <v>0</v>
      </c>
      <c r="F161" s="29"/>
      <c r="G161" s="70">
        <v>0</v>
      </c>
      <c r="H161" s="70">
        <f t="shared" si="4"/>
        <v>0</v>
      </c>
      <c r="I161" s="29"/>
      <c r="J161" s="29">
        <f t="shared" si="5"/>
        <v>0</v>
      </c>
      <c r="K161" s="29">
        <f t="shared" si="6"/>
        <v>0</v>
      </c>
      <c r="L161" s="16"/>
      <c r="M161" s="16"/>
    </row>
    <row r="162" spans="1:13" ht="30" x14ac:dyDescent="0.25">
      <c r="A162" s="58" t="s">
        <v>101</v>
      </c>
      <c r="B162" s="7" t="s">
        <v>153</v>
      </c>
      <c r="C162" s="29"/>
      <c r="D162" s="29">
        <v>0</v>
      </c>
      <c r="E162" s="29">
        <f t="shared" si="3"/>
        <v>0</v>
      </c>
      <c r="F162" s="29"/>
      <c r="G162" s="70">
        <v>0</v>
      </c>
      <c r="H162" s="70">
        <f t="shared" si="4"/>
        <v>0</v>
      </c>
      <c r="I162" s="29"/>
      <c r="J162" s="29">
        <f t="shared" si="5"/>
        <v>0</v>
      </c>
      <c r="K162" s="29">
        <f t="shared" si="6"/>
        <v>0</v>
      </c>
      <c r="L162" s="16"/>
      <c r="M162" s="16"/>
    </row>
    <row r="163" spans="1:13" ht="59.25" hidden="1" x14ac:dyDescent="0.25">
      <c r="A163" s="49" t="s">
        <v>54</v>
      </c>
      <c r="B163" s="9" t="s">
        <v>57</v>
      </c>
      <c r="C163" s="29"/>
      <c r="D163" s="29"/>
      <c r="E163" s="29">
        <f t="shared" si="3"/>
        <v>0</v>
      </c>
      <c r="F163" s="29"/>
      <c r="G163" s="70"/>
      <c r="H163" s="70">
        <f t="shared" si="4"/>
        <v>0</v>
      </c>
      <c r="I163" s="29"/>
      <c r="J163" s="29">
        <f t="shared" si="5"/>
        <v>0</v>
      </c>
      <c r="K163" s="29">
        <f t="shared" si="6"/>
        <v>0</v>
      </c>
      <c r="L163" s="16"/>
      <c r="M163" s="16"/>
    </row>
    <row r="164" spans="1:13" ht="75" hidden="1" x14ac:dyDescent="0.25">
      <c r="A164" s="49" t="s">
        <v>63</v>
      </c>
      <c r="B164" s="9" t="s">
        <v>58</v>
      </c>
      <c r="C164" s="29"/>
      <c r="D164" s="29"/>
      <c r="E164" s="29">
        <f t="shared" si="3"/>
        <v>0</v>
      </c>
      <c r="F164" s="29"/>
      <c r="G164" s="70"/>
      <c r="H164" s="70">
        <f t="shared" si="4"/>
        <v>0</v>
      </c>
      <c r="I164" s="29"/>
      <c r="J164" s="29">
        <f t="shared" si="5"/>
        <v>0</v>
      </c>
      <c r="K164" s="29">
        <f t="shared" si="6"/>
        <v>0</v>
      </c>
      <c r="L164" s="16"/>
      <c r="M164" s="16"/>
    </row>
    <row r="165" spans="1:13" ht="47.25" x14ac:dyDescent="0.25">
      <c r="A165" s="61" t="s">
        <v>107</v>
      </c>
      <c r="B165" s="52" t="s">
        <v>106</v>
      </c>
      <c r="C165" s="62"/>
      <c r="D165" s="62">
        <v>0</v>
      </c>
      <c r="E165" s="29">
        <f t="shared" si="3"/>
        <v>0</v>
      </c>
      <c r="F165" s="62"/>
      <c r="G165" s="75">
        <v>0</v>
      </c>
      <c r="H165" s="70">
        <f t="shared" si="4"/>
        <v>0</v>
      </c>
      <c r="I165" s="62"/>
      <c r="J165" s="29">
        <f t="shared" si="5"/>
        <v>0</v>
      </c>
      <c r="K165" s="29">
        <f t="shared" si="6"/>
        <v>0</v>
      </c>
    </row>
    <row r="166" spans="1:13" ht="31.5" x14ac:dyDescent="0.25">
      <c r="A166" s="63" t="s">
        <v>108</v>
      </c>
      <c r="B166" s="54" t="s">
        <v>109</v>
      </c>
      <c r="C166" s="64"/>
      <c r="D166" s="62">
        <v>0</v>
      </c>
      <c r="E166" s="29">
        <f t="shared" si="3"/>
        <v>0</v>
      </c>
      <c r="F166" s="62"/>
      <c r="G166" s="75">
        <v>0</v>
      </c>
      <c r="H166" s="70">
        <f t="shared" si="4"/>
        <v>0</v>
      </c>
      <c r="I166" s="62"/>
      <c r="J166" s="29">
        <f t="shared" si="5"/>
        <v>0</v>
      </c>
      <c r="K166" s="29">
        <f t="shared" si="6"/>
        <v>0</v>
      </c>
    </row>
    <row r="167" spans="1:13" ht="47.25" x14ac:dyDescent="0.25">
      <c r="A167" s="65" t="s">
        <v>114</v>
      </c>
      <c r="B167" s="56" t="s">
        <v>111</v>
      </c>
      <c r="C167" s="64"/>
      <c r="D167" s="62">
        <v>0</v>
      </c>
      <c r="E167" s="29">
        <f t="shared" si="3"/>
        <v>0</v>
      </c>
      <c r="F167" s="62"/>
      <c r="G167" s="75">
        <v>0</v>
      </c>
      <c r="H167" s="70">
        <f t="shared" si="4"/>
        <v>0</v>
      </c>
      <c r="I167" s="62"/>
      <c r="J167" s="29">
        <f t="shared" si="5"/>
        <v>0</v>
      </c>
      <c r="K167" s="29">
        <f t="shared" si="6"/>
        <v>0</v>
      </c>
    </row>
    <row r="168" spans="1:13" ht="47.25" x14ac:dyDescent="0.25">
      <c r="A168" s="65" t="s">
        <v>115</v>
      </c>
      <c r="B168" s="54" t="s">
        <v>113</v>
      </c>
      <c r="C168" s="64"/>
      <c r="D168" s="62">
        <v>0</v>
      </c>
      <c r="E168" s="29">
        <f t="shared" si="3"/>
        <v>0</v>
      </c>
      <c r="F168" s="62"/>
      <c r="G168" s="75">
        <v>0</v>
      </c>
      <c r="H168" s="70">
        <f t="shared" si="4"/>
        <v>0</v>
      </c>
      <c r="I168" s="62"/>
      <c r="J168" s="29">
        <f t="shared" si="5"/>
        <v>0</v>
      </c>
      <c r="K168" s="29">
        <f t="shared" si="6"/>
        <v>0</v>
      </c>
    </row>
    <row r="169" spans="1:13" ht="57.75" customHeight="1" x14ac:dyDescent="0.25">
      <c r="A169" s="20" t="s">
        <v>54</v>
      </c>
      <c r="B169" s="6" t="s">
        <v>146</v>
      </c>
      <c r="C169" s="18"/>
      <c r="D169" s="18">
        <v>0</v>
      </c>
      <c r="E169" s="29">
        <f t="shared" si="3"/>
        <v>0</v>
      </c>
      <c r="F169" s="18"/>
      <c r="G169" s="75">
        <v>0</v>
      </c>
      <c r="H169" s="70">
        <f t="shared" si="4"/>
        <v>0</v>
      </c>
      <c r="I169" s="18"/>
      <c r="J169" s="29">
        <f t="shared" si="5"/>
        <v>0</v>
      </c>
      <c r="K169" s="29">
        <f t="shared" si="6"/>
        <v>0</v>
      </c>
    </row>
    <row r="170" spans="1:13" ht="82.5" customHeight="1" x14ac:dyDescent="0.25">
      <c r="A170" s="20" t="s">
        <v>63</v>
      </c>
      <c r="B170" s="6" t="s">
        <v>147</v>
      </c>
      <c r="C170" s="18"/>
      <c r="D170" s="18">
        <v>0</v>
      </c>
      <c r="E170" s="29">
        <f t="shared" si="3"/>
        <v>0</v>
      </c>
      <c r="F170" s="18"/>
      <c r="G170" s="75">
        <v>0</v>
      </c>
      <c r="H170" s="70">
        <f t="shared" si="4"/>
        <v>0</v>
      </c>
      <c r="I170" s="18"/>
      <c r="J170" s="29">
        <f t="shared" si="5"/>
        <v>0</v>
      </c>
      <c r="K170" s="29">
        <f t="shared" si="6"/>
        <v>0</v>
      </c>
    </row>
  </sheetData>
  <mergeCells count="13">
    <mergeCell ref="I5:K5"/>
    <mergeCell ref="A1:K1"/>
    <mergeCell ref="A2:K2"/>
    <mergeCell ref="A4:A5"/>
    <mergeCell ref="B4:B5"/>
    <mergeCell ref="C4:K4"/>
    <mergeCell ref="C3:K3"/>
    <mergeCell ref="A133:B133"/>
    <mergeCell ref="A3:B3"/>
    <mergeCell ref="A61:A69"/>
    <mergeCell ref="C5:E5"/>
    <mergeCell ref="F5:H5"/>
    <mergeCell ref="A53:A57"/>
  </mergeCells>
  <phoneticPr fontId="2" type="noConversion"/>
  <pageMargins left="0.59055118110236227" right="0.19685039370078741" top="0.59055118110236227" bottom="0.39370078740157483" header="0.31496062992125984" footer="0.31496062992125984"/>
  <pageSetup paperSize="9" orientation="landscape" horizontalDpi="200" verticalDpi="200" r:id="rId1"/>
  <headerFooter alignWithMargins="0">
    <oddHeader>&amp;RТаблица</oddHeader>
    <oddFooter>&amp;R&amp;P</oddFooter>
  </headerFooter>
  <rowBreaks count="1" manualBreakCount="1"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2019-10-22T12:22:10Z</cp:lastPrinted>
  <dcterms:created xsi:type="dcterms:W3CDTF">2013-01-29T14:30:13Z</dcterms:created>
  <dcterms:modified xsi:type="dcterms:W3CDTF">2021-06-23T19:36:20Z</dcterms:modified>
</cp:coreProperties>
</file>